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spretzer\Downloads\"/>
    </mc:Choice>
  </mc:AlternateContent>
  <xr:revisionPtr revIDLastSave="0" documentId="13_ncr:1_{91476FA2-0F3F-4F8E-B663-4227792CD7CF}" xr6:coauthVersionLast="47" xr6:coauthVersionMax="47" xr10:uidLastSave="{00000000-0000-0000-0000-000000000000}"/>
  <bookViews>
    <workbookView xWindow="890" yWindow="0" windowWidth="17910" windowHeight="10280" tabRatio="442" xr2:uid="{00000000-000D-0000-FFFF-FFFF00000000}"/>
  </bookViews>
  <sheets>
    <sheet name="Summary" sheetId="1" r:id="rId1"/>
    <sheet name="Federal (FY14-22)" sheetId="2" r:id="rId2"/>
    <sheet name="State (FY14-22)" sheetId="3" r:id="rId3"/>
    <sheet name="EPAGrantAllocations (FY16-22)" sheetId="6" r:id="rId4"/>
    <sheet name="Directed Funds (FY16-22)" sheetId="14" r:id="rId5"/>
    <sheet name="Directed Funds (2022)" sheetId="12" r:id="rId6"/>
    <sheet name="IIJA Funds Summary (2022)" sheetId="15" r:id="rId7"/>
    <sheet name="ChesapeakeProgress" sheetId="11" r:id="rId8"/>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5" l="1"/>
  <c r="B7" i="15"/>
  <c r="B6" i="15"/>
  <c r="AR13" i="6"/>
  <c r="AR15" i="6" s="1"/>
  <c r="AZ15" i="6"/>
  <c r="BH15" i="6"/>
  <c r="B20" i="15"/>
  <c r="B22" i="15"/>
  <c r="B21" i="15"/>
  <c r="B19" i="15"/>
  <c r="B18" i="15"/>
  <c r="B17" i="15"/>
  <c r="B16" i="15"/>
  <c r="M7" i="2"/>
  <c r="E16" i="15" l="1"/>
  <c r="E17" i="15"/>
  <c r="E18" i="15"/>
  <c r="E19" i="15"/>
  <c r="E20" i="15"/>
  <c r="E21" i="15"/>
  <c r="E22" i="15"/>
  <c r="C22" i="15"/>
  <c r="D22" i="15"/>
  <c r="D21" i="15"/>
  <c r="C21" i="15"/>
  <c r="D20" i="15"/>
  <c r="C20" i="15"/>
  <c r="C19" i="15"/>
  <c r="D16" i="15"/>
  <c r="D17" i="15"/>
  <c r="D18" i="15"/>
  <c r="D19" i="15"/>
  <c r="C18" i="15"/>
  <c r="C17" i="15"/>
  <c r="BP10" i="6" l="1"/>
  <c r="H25" i="11"/>
  <c r="I17" i="11"/>
  <c r="I23" i="3"/>
  <c r="H23" i="3"/>
  <c r="G23" i="3"/>
  <c r="F23" i="3"/>
  <c r="E23" i="3"/>
  <c r="D23" i="3"/>
  <c r="C23" i="3"/>
  <c r="B23" i="3"/>
  <c r="N8" i="11"/>
  <c r="O8" i="11"/>
  <c r="P8" i="11"/>
  <c r="Q8" i="11"/>
  <c r="M8" i="11"/>
  <c r="BL6" i="2"/>
  <c r="BI6" i="2"/>
  <c r="BK6" i="2"/>
  <c r="BN6" i="2"/>
  <c r="BM6" i="2"/>
  <c r="BJ6" i="2"/>
  <c r="BO10" i="6"/>
  <c r="K12" i="3"/>
  <c r="BM12" i="14"/>
  <c r="BM11" i="14"/>
  <c r="BM10" i="14"/>
  <c r="BM8" i="14"/>
  <c r="BM7" i="14"/>
  <c r="BM6" i="14"/>
  <c r="BE13" i="14"/>
  <c r="BD13" i="14"/>
  <c r="AW13" i="14"/>
  <c r="AN13" i="14"/>
  <c r="AO13" i="14"/>
  <c r="AG13" i="14"/>
  <c r="Y13" i="14"/>
  <c r="P12" i="14"/>
  <c r="P13" i="14" s="1"/>
  <c r="Q13" i="14"/>
  <c r="H13" i="14"/>
  <c r="K6" i="1"/>
  <c r="AI13" i="6"/>
  <c r="AI15" i="6"/>
  <c r="AQ15" i="6"/>
  <c r="AY15" i="6"/>
  <c r="BG15" i="6"/>
  <c r="BL11" i="14"/>
  <c r="BL10" i="14"/>
  <c r="BL7" i="14"/>
  <c r="BL8" i="14"/>
  <c r="BL6" i="14"/>
  <c r="AV13" i="14"/>
  <c r="AF13" i="14"/>
  <c r="X13" i="14"/>
  <c r="BP12" i="6"/>
  <c r="BP11" i="6"/>
  <c r="BP9" i="6"/>
  <c r="BP8" i="6"/>
  <c r="BP7" i="6"/>
  <c r="BP6" i="6"/>
  <c r="BO7" i="6"/>
  <c r="BH13" i="6"/>
  <c r="BG13" i="6"/>
  <c r="BG14" i="6"/>
  <c r="BO12" i="6"/>
  <c r="BO11" i="6"/>
  <c r="BO9" i="6"/>
  <c r="BO8" i="6"/>
  <c r="BO6" i="6"/>
  <c r="BN6" i="6"/>
  <c r="AY13" i="6"/>
  <c r="AZ13" i="6"/>
  <c r="AY14" i="6"/>
  <c r="AQ14" i="6"/>
  <c r="AQ13" i="6"/>
  <c r="AR10" i="6"/>
  <c r="AH14" i="6"/>
  <c r="AH13" i="6"/>
  <c r="AH15" i="6" s="1"/>
  <c r="AA13" i="6"/>
  <c r="AA15" i="6" s="1"/>
  <c r="Z14" i="6"/>
  <c r="Z13" i="6"/>
  <c r="Z15" i="6" s="1"/>
  <c r="Q14" i="6"/>
  <c r="R13" i="6"/>
  <c r="R15" i="6" s="1"/>
  <c r="Q13" i="6"/>
  <c r="Q15" i="6" s="1"/>
  <c r="H14" i="6"/>
  <c r="I13" i="6"/>
  <c r="I15" i="6" s="1"/>
  <c r="H13" i="6"/>
  <c r="H15" i="6" s="1"/>
  <c r="J12" i="3"/>
  <c r="I22" i="3"/>
  <c r="T21" i="11" s="1"/>
  <c r="I21" i="3"/>
  <c r="T20" i="11" s="1"/>
  <c r="I20" i="3"/>
  <c r="T19" i="11" s="1"/>
  <c r="I19" i="3"/>
  <c r="T18" i="11" s="1"/>
  <c r="I18" i="3"/>
  <c r="T17" i="11" s="1"/>
  <c r="I17" i="3"/>
  <c r="T16" i="11" s="1"/>
  <c r="I16" i="3"/>
  <c r="T15" i="11" s="1"/>
  <c r="L18" i="2"/>
  <c r="J18" i="2"/>
  <c r="L7" i="2"/>
  <c r="J7" i="2"/>
  <c r="Y13" i="2"/>
  <c r="Y6" i="2" s="1"/>
  <c r="AZ6" i="2"/>
  <c r="AX6" i="2"/>
  <c r="BZ6" i="2"/>
  <c r="CA6" i="2"/>
  <c r="BA6" i="2"/>
  <c r="AY6" i="2"/>
  <c r="AW11" i="2" s="1"/>
  <c r="T7" i="11" s="1"/>
  <c r="Z6" i="2"/>
  <c r="K7" i="2"/>
  <c r="M18" i="2"/>
  <c r="M6" i="2" s="1"/>
  <c r="K18" i="2"/>
  <c r="BX9" i="2"/>
  <c r="AI7" i="2"/>
  <c r="W7" i="2"/>
  <c r="U14" i="2"/>
  <c r="U12" i="2"/>
  <c r="U7" i="2"/>
  <c r="BY7" i="2"/>
  <c r="BX8" i="2"/>
  <c r="BX7" i="2"/>
  <c r="BW7" i="2"/>
  <c r="BV7" i="2"/>
  <c r="BY9" i="2"/>
  <c r="BW9" i="2"/>
  <c r="BV9" i="2"/>
  <c r="BY8" i="2"/>
  <c r="BW8" i="2"/>
  <c r="BV8" i="2"/>
  <c r="B37" i="11" l="1"/>
  <c r="BL12" i="14"/>
  <c r="H32" i="11" s="1"/>
  <c r="J6" i="2"/>
  <c r="L6" i="2"/>
  <c r="BH14" i="2"/>
  <c r="R8" i="11" s="1"/>
  <c r="BI14" i="2"/>
  <c r="S8" i="11" s="1"/>
  <c r="BJ14" i="2"/>
  <c r="T8" i="11" s="1"/>
  <c r="BX6" i="2"/>
  <c r="BM13" i="14"/>
  <c r="I9" i="11"/>
  <c r="L5" i="1"/>
  <c r="L7" i="1" s="1"/>
  <c r="B5" i="15" s="1"/>
  <c r="BP13" i="6"/>
  <c r="BO14" i="6"/>
  <c r="BO13" i="6"/>
  <c r="BO15" i="6"/>
  <c r="BY6" i="2"/>
  <c r="K6" i="2"/>
  <c r="M5" i="1"/>
  <c r="M7" i="1" s="1"/>
  <c r="BL13" i="14" l="1"/>
  <c r="BW14" i="2"/>
  <c r="T9" i="11" s="1"/>
  <c r="B35" i="11"/>
  <c r="I5" i="11"/>
  <c r="B36" i="11"/>
  <c r="BP15" i="6"/>
  <c r="BH6" i="2"/>
  <c r="AK7" i="2" l="1"/>
  <c r="AK6" i="2" s="1"/>
  <c r="AL7" i="2"/>
  <c r="AL6" i="2" s="1"/>
  <c r="AJ7" i="2"/>
  <c r="AJ6" i="2" s="1"/>
  <c r="X13" i="2"/>
  <c r="W13" i="2"/>
  <c r="V13" i="2"/>
  <c r="U13" i="2"/>
  <c r="X14" i="2"/>
  <c r="W14" i="2"/>
  <c r="V14" i="2"/>
  <c r="W12" i="2"/>
  <c r="V12" i="2"/>
  <c r="X8" i="2"/>
  <c r="W8" i="2"/>
  <c r="V8" i="2"/>
  <c r="U8" i="2"/>
  <c r="X7" i="2"/>
  <c r="V7" i="2"/>
  <c r="H26" i="11"/>
  <c r="X6" i="2" l="1"/>
  <c r="J9" i="11" s="1"/>
  <c r="W6" i="2"/>
  <c r="AI10" i="2"/>
  <c r="AJ10" i="2"/>
  <c r="T6" i="11" s="1"/>
  <c r="H23" i="11"/>
  <c r="H31" i="11"/>
  <c r="H28" i="11"/>
  <c r="BH6" i="14"/>
  <c r="K13" i="6"/>
  <c r="L13" i="6"/>
  <c r="M13" i="6"/>
  <c r="N13" i="6"/>
  <c r="O13" i="6"/>
  <c r="P13" i="6"/>
  <c r="T13" i="6"/>
  <c r="U13" i="6"/>
  <c r="V13" i="6"/>
  <c r="W13" i="6"/>
  <c r="X13" i="6"/>
  <c r="Y13" i="6"/>
  <c r="AB13" i="6"/>
  <c r="AC13" i="6"/>
  <c r="AD13" i="6"/>
  <c r="AE13" i="6"/>
  <c r="AF13" i="6"/>
  <c r="AG13" i="6"/>
  <c r="AK13" i="6"/>
  <c r="AL13" i="6"/>
  <c r="AM13" i="6"/>
  <c r="AN13" i="6"/>
  <c r="AO13" i="6"/>
  <c r="AP13" i="6"/>
  <c r="AS13" i="6"/>
  <c r="AT13" i="6"/>
  <c r="AU13" i="6"/>
  <c r="AV13" i="6"/>
  <c r="AW13" i="6"/>
  <c r="AX13" i="6"/>
  <c r="BA13" i="6"/>
  <c r="BB13" i="6"/>
  <c r="BC13" i="6"/>
  <c r="BD13" i="6"/>
  <c r="BE13" i="6"/>
  <c r="BF13" i="6"/>
  <c r="C13" i="6"/>
  <c r="D13" i="6"/>
  <c r="E13" i="6"/>
  <c r="F13" i="6"/>
  <c r="G13" i="6"/>
  <c r="B13" i="6"/>
  <c r="J5" i="1" l="1"/>
  <c r="B4" i="2"/>
  <c r="H9" i="11"/>
  <c r="G4" i="2"/>
  <c r="K5" i="1"/>
  <c r="V18" i="2"/>
  <c r="T5" i="11" s="1"/>
  <c r="BI12" i="14"/>
  <c r="E31" i="11" s="1"/>
  <c r="BL11" i="6"/>
  <c r="BI7" i="6"/>
  <c r="BJ7" i="6"/>
  <c r="BK7" i="6"/>
  <c r="BL7" i="6"/>
  <c r="BM7" i="6"/>
  <c r="BN7" i="6"/>
  <c r="BI8" i="6"/>
  <c r="BJ8" i="6"/>
  <c r="BK8" i="6"/>
  <c r="BL8" i="6"/>
  <c r="BM8" i="6"/>
  <c r="BN8" i="6"/>
  <c r="BI9" i="6"/>
  <c r="BJ9" i="6"/>
  <c r="BK9" i="6"/>
  <c r="BL9" i="6"/>
  <c r="BM9" i="6"/>
  <c r="BN9" i="6"/>
  <c r="BI10" i="6"/>
  <c r="BJ10" i="6"/>
  <c r="BK10" i="6"/>
  <c r="BL10" i="6"/>
  <c r="BM10" i="6"/>
  <c r="BN10" i="6"/>
  <c r="BI11" i="6"/>
  <c r="BJ11" i="6"/>
  <c r="BK11" i="6"/>
  <c r="BM11" i="6"/>
  <c r="BN11" i="6"/>
  <c r="BI12" i="6"/>
  <c r="BJ12" i="6"/>
  <c r="BK12" i="6"/>
  <c r="BL12" i="6"/>
  <c r="BM12" i="6"/>
  <c r="BN12" i="6"/>
  <c r="BJ6" i="6"/>
  <c r="BK6" i="6"/>
  <c r="BK13" i="6" s="1"/>
  <c r="BL6" i="6"/>
  <c r="BM6" i="6"/>
  <c r="BI6" i="6"/>
  <c r="K14" i="6"/>
  <c r="K15" i="6" s="1"/>
  <c r="L14" i="6"/>
  <c r="L15" i="6" s="1"/>
  <c r="M14" i="6"/>
  <c r="M15" i="6" s="1"/>
  <c r="N14" i="6"/>
  <c r="N15" i="6" s="1"/>
  <c r="O14" i="6"/>
  <c r="O15" i="6" s="1"/>
  <c r="P14" i="6"/>
  <c r="P15" i="6" s="1"/>
  <c r="T14" i="6"/>
  <c r="T15" i="6" s="1"/>
  <c r="U14" i="6"/>
  <c r="U15" i="6" s="1"/>
  <c r="V14" i="6"/>
  <c r="V15" i="6" s="1"/>
  <c r="W14" i="6"/>
  <c r="W15" i="6" s="1"/>
  <c r="X14" i="6"/>
  <c r="X15" i="6" s="1"/>
  <c r="Y14" i="6"/>
  <c r="Y15" i="6" s="1"/>
  <c r="AB14" i="6"/>
  <c r="AB15" i="6" s="1"/>
  <c r="AC14" i="6"/>
  <c r="AC15" i="6" s="1"/>
  <c r="AD14" i="6"/>
  <c r="AD15" i="6" s="1"/>
  <c r="AE14" i="6"/>
  <c r="AE15" i="6" s="1"/>
  <c r="AF14" i="6"/>
  <c r="AF15" i="6" s="1"/>
  <c r="AG14" i="6"/>
  <c r="AG15" i="6" s="1"/>
  <c r="AK14" i="6"/>
  <c r="AK15" i="6" s="1"/>
  <c r="AL14" i="6"/>
  <c r="AL15" i="6" s="1"/>
  <c r="AM14" i="6"/>
  <c r="AM15" i="6" s="1"/>
  <c r="AN14" i="6"/>
  <c r="AN15" i="6" s="1"/>
  <c r="AO14" i="6"/>
  <c r="AO15" i="6" s="1"/>
  <c r="AP14" i="6"/>
  <c r="AP15" i="6" s="1"/>
  <c r="AS14" i="6"/>
  <c r="AS15" i="6" s="1"/>
  <c r="AT14" i="6"/>
  <c r="AT15" i="6" s="1"/>
  <c r="AU14" i="6"/>
  <c r="AU15" i="6" s="1"/>
  <c r="AV14" i="6"/>
  <c r="AV15" i="6" s="1"/>
  <c r="AW14" i="6"/>
  <c r="AW15" i="6" s="1"/>
  <c r="AX14" i="6"/>
  <c r="AX15" i="6" s="1"/>
  <c r="BA14" i="6"/>
  <c r="BA15" i="6" s="1"/>
  <c r="BB14" i="6"/>
  <c r="BB15" i="6" s="1"/>
  <c r="BC14" i="6"/>
  <c r="BC15" i="6" s="1"/>
  <c r="BD14" i="6"/>
  <c r="BD15" i="6" s="1"/>
  <c r="BE14" i="6"/>
  <c r="BE15" i="6" s="1"/>
  <c r="BF14" i="6"/>
  <c r="BF15" i="6" s="1"/>
  <c r="C14" i="6"/>
  <c r="C15" i="6" s="1"/>
  <c r="D14" i="6"/>
  <c r="D15" i="6" s="1"/>
  <c r="E14" i="6"/>
  <c r="E15" i="6" s="1"/>
  <c r="F14" i="6"/>
  <c r="F15" i="6" s="1"/>
  <c r="G14" i="6"/>
  <c r="G15" i="6" s="1"/>
  <c r="B14" i="6"/>
  <c r="B15" i="6" s="1"/>
  <c r="T11" i="11" l="1"/>
  <c r="K7" i="1"/>
  <c r="J5" i="11" s="1"/>
  <c r="BL13" i="6"/>
  <c r="E23" i="11"/>
  <c r="BI13" i="6"/>
  <c r="D23" i="11"/>
  <c r="BN13" i="6"/>
  <c r="BJ13" i="6"/>
  <c r="BM13" i="6"/>
  <c r="BK14" i="6"/>
  <c r="BK15" i="6" s="1"/>
  <c r="BL14" i="6"/>
  <c r="BM14" i="6"/>
  <c r="BI14" i="6"/>
  <c r="BJ14" i="6"/>
  <c r="BN14" i="6"/>
  <c r="BH7" i="14"/>
  <c r="D26" i="11" s="1"/>
  <c r="BH8" i="14"/>
  <c r="BH10" i="14"/>
  <c r="BH11" i="14"/>
  <c r="BH12" i="14"/>
  <c r="D31" i="11" s="1"/>
  <c r="BG7" i="14"/>
  <c r="BG8" i="14"/>
  <c r="BG10" i="14"/>
  <c r="BG11" i="14"/>
  <c r="BG12" i="14"/>
  <c r="C31" i="11" s="1"/>
  <c r="BG6" i="14"/>
  <c r="BF7" i="14"/>
  <c r="BF8" i="14"/>
  <c r="BF10" i="14"/>
  <c r="BF11" i="14"/>
  <c r="BF12" i="14"/>
  <c r="B31" i="11" s="1"/>
  <c r="BF6" i="14"/>
  <c r="BI7" i="14"/>
  <c r="BI8" i="14"/>
  <c r="BI10" i="14"/>
  <c r="BI11" i="14"/>
  <c r="BI6" i="14"/>
  <c r="AC13" i="14"/>
  <c r="BJ7" i="14"/>
  <c r="BJ8" i="14"/>
  <c r="BJ10" i="14"/>
  <c r="BJ11" i="14"/>
  <c r="BJ12" i="14"/>
  <c r="F31" i="11" s="1"/>
  <c r="BJ6" i="14"/>
  <c r="F26" i="11" s="1"/>
  <c r="N13" i="14"/>
  <c r="BK7" i="14"/>
  <c r="BK8" i="14"/>
  <c r="BK10" i="14"/>
  <c r="BK11" i="14"/>
  <c r="BK12" i="14"/>
  <c r="G31" i="11" s="1"/>
  <c r="BK6" i="14"/>
  <c r="BC13" i="14"/>
  <c r="AM13" i="14"/>
  <c r="AE13" i="14"/>
  <c r="Z13" i="14"/>
  <c r="AA13" i="14"/>
  <c r="AB13" i="14"/>
  <c r="AD13" i="14"/>
  <c r="AH13" i="14"/>
  <c r="AI13" i="14"/>
  <c r="AJ13" i="14"/>
  <c r="AK13" i="14"/>
  <c r="AL13" i="14"/>
  <c r="AP13" i="14"/>
  <c r="AQ13" i="14"/>
  <c r="AR13" i="14"/>
  <c r="AS13" i="14"/>
  <c r="AT13" i="14"/>
  <c r="AU13" i="14"/>
  <c r="AX13" i="14"/>
  <c r="AY13" i="14"/>
  <c r="AZ13" i="14"/>
  <c r="BA13" i="14"/>
  <c r="BB13" i="14"/>
  <c r="R13" i="14"/>
  <c r="S13" i="14"/>
  <c r="T13" i="14"/>
  <c r="U13" i="14"/>
  <c r="V13" i="14"/>
  <c r="W13" i="14"/>
  <c r="O13" i="14"/>
  <c r="C13" i="14"/>
  <c r="D13" i="14"/>
  <c r="E13" i="14"/>
  <c r="F13" i="14"/>
  <c r="G13" i="14"/>
  <c r="J13" i="14"/>
  <c r="K13" i="14"/>
  <c r="L13" i="14"/>
  <c r="M13" i="14"/>
  <c r="B13" i="14"/>
  <c r="H9" i="12"/>
  <c r="H10" i="12"/>
  <c r="H11" i="12"/>
  <c r="H12" i="12"/>
  <c r="H13" i="12"/>
  <c r="H14" i="12"/>
  <c r="H8" i="12"/>
  <c r="G15" i="12"/>
  <c r="B15" i="12"/>
  <c r="C15" i="12"/>
  <c r="D15" i="12"/>
  <c r="E15" i="12"/>
  <c r="F15" i="12"/>
  <c r="G26" i="11" l="1"/>
  <c r="G32" i="11"/>
  <c r="F32" i="11"/>
  <c r="E32" i="11"/>
  <c r="E26" i="11"/>
  <c r="D32" i="11"/>
  <c r="C32" i="11"/>
  <c r="B26" i="11"/>
  <c r="B32" i="11"/>
  <c r="F28" i="11"/>
  <c r="B28" i="11"/>
  <c r="F23" i="11"/>
  <c r="BM15" i="6"/>
  <c r="BI15" i="6"/>
  <c r="B23" i="11"/>
  <c r="B25" i="11"/>
  <c r="G28" i="11"/>
  <c r="F25" i="11"/>
  <c r="BJ15" i="6"/>
  <c r="C23" i="11"/>
  <c r="E28" i="11"/>
  <c r="C28" i="11"/>
  <c r="G25" i="11"/>
  <c r="E25" i="11"/>
  <c r="BN15" i="6"/>
  <c r="G23" i="11"/>
  <c r="C26" i="11"/>
  <c r="D28" i="11"/>
  <c r="C25" i="11"/>
  <c r="D25" i="11"/>
  <c r="BL15" i="6"/>
  <c r="BH13" i="14"/>
  <c r="H15" i="12"/>
  <c r="BF13" i="14"/>
  <c r="BG13" i="14"/>
  <c r="BI13" i="14"/>
  <c r="BJ13" i="14"/>
  <c r="BK13" i="14"/>
  <c r="H22" i="3" l="1"/>
  <c r="S21" i="11" s="1"/>
  <c r="H16" i="3"/>
  <c r="S15" i="11" s="1"/>
  <c r="G16" i="3"/>
  <c r="H17" i="3"/>
  <c r="S16" i="11" s="1"/>
  <c r="H18" i="3"/>
  <c r="S17" i="11" s="1"/>
  <c r="H19" i="3"/>
  <c r="S18" i="11" s="1"/>
  <c r="H20" i="3"/>
  <c r="S19" i="11" s="1"/>
  <c r="H21" i="3"/>
  <c r="S20" i="11" s="1"/>
  <c r="G21" i="3"/>
  <c r="G17" i="3"/>
  <c r="G18" i="3"/>
  <c r="G19" i="3"/>
  <c r="R18" i="11" s="1"/>
  <c r="G20" i="3"/>
  <c r="G22" i="3"/>
  <c r="I12" i="3"/>
  <c r="BU7" i="2"/>
  <c r="AW6" i="2"/>
  <c r="AI6" i="2"/>
  <c r="AH6" i="2"/>
  <c r="C18" i="2"/>
  <c r="D18" i="2"/>
  <c r="E18" i="2"/>
  <c r="F18" i="2"/>
  <c r="G18" i="2"/>
  <c r="H18" i="2"/>
  <c r="I18" i="2"/>
  <c r="B18" i="2"/>
  <c r="I7" i="2"/>
  <c r="AV11" i="2" l="1"/>
  <c r="S7" i="11" s="1"/>
  <c r="G17" i="11"/>
  <c r="I6" i="1"/>
  <c r="H17" i="11"/>
  <c r="J6" i="1"/>
  <c r="BW6" i="2"/>
  <c r="S6" i="11"/>
  <c r="BV6" i="2"/>
  <c r="AH10" i="2"/>
  <c r="V6" i="2"/>
  <c r="U18" i="2" s="1"/>
  <c r="I26" i="2"/>
  <c r="T10" i="11" s="1"/>
  <c r="I6" i="2"/>
  <c r="I5" i="1" s="1"/>
  <c r="J7" i="1" l="1"/>
  <c r="H5" i="11" s="1"/>
  <c r="S22" i="11"/>
  <c r="T22" i="11"/>
  <c r="I7" i="1"/>
  <c r="G5" i="11" s="1"/>
  <c r="S11" i="11"/>
  <c r="BV14" i="2"/>
  <c r="S9" i="11" s="1"/>
  <c r="BU14" i="2"/>
  <c r="G9" i="11"/>
  <c r="H26" i="2"/>
  <c r="S10" i="11" s="1"/>
  <c r="S5" i="11"/>
  <c r="R16" i="11"/>
  <c r="R17" i="11"/>
  <c r="R19" i="11"/>
  <c r="R20" i="11"/>
  <c r="R21" i="11"/>
  <c r="R15" i="11"/>
  <c r="AV6" i="2"/>
  <c r="R6" i="11"/>
  <c r="H7" i="2"/>
  <c r="H6" i="2" s="1"/>
  <c r="G26" i="2" s="1"/>
  <c r="AU11" i="2" l="1"/>
  <c r="R7" i="11" s="1"/>
  <c r="R9" i="11"/>
  <c r="R10" i="11"/>
  <c r="U6" i="2"/>
  <c r="T18" i="2" s="1"/>
  <c r="D22" i="3"/>
  <c r="O21" i="11" s="1"/>
  <c r="E22" i="3"/>
  <c r="P21" i="11" s="1"/>
  <c r="F22" i="3"/>
  <c r="Q21" i="11" s="1"/>
  <c r="C22" i="3"/>
  <c r="N21" i="11" s="1"/>
  <c r="C21" i="3"/>
  <c r="N20" i="11" s="1"/>
  <c r="D21" i="3"/>
  <c r="O20" i="11" s="1"/>
  <c r="E21" i="3"/>
  <c r="P20" i="11" s="1"/>
  <c r="F21" i="3"/>
  <c r="Q20" i="11" s="1"/>
  <c r="C20" i="3"/>
  <c r="N19" i="11" s="1"/>
  <c r="D20" i="3"/>
  <c r="O19" i="11" s="1"/>
  <c r="E20" i="3"/>
  <c r="P19" i="11" s="1"/>
  <c r="F20" i="3"/>
  <c r="Q19" i="11" s="1"/>
  <c r="C19" i="3"/>
  <c r="N18" i="11" s="1"/>
  <c r="D19" i="3"/>
  <c r="O18" i="11" s="1"/>
  <c r="E19" i="3"/>
  <c r="P18" i="11" s="1"/>
  <c r="F19" i="3"/>
  <c r="Q18" i="11" s="1"/>
  <c r="C18" i="3"/>
  <c r="N17" i="11" s="1"/>
  <c r="D18" i="3"/>
  <c r="O17" i="11" s="1"/>
  <c r="E18" i="3"/>
  <c r="F18" i="3"/>
  <c r="Q17" i="11" s="1"/>
  <c r="F17" i="3"/>
  <c r="Q16" i="11" s="1"/>
  <c r="C17" i="3"/>
  <c r="N16" i="11" s="1"/>
  <c r="D17" i="3"/>
  <c r="O16" i="11" s="1"/>
  <c r="E17" i="3"/>
  <c r="P16" i="11" s="1"/>
  <c r="B18" i="3"/>
  <c r="M17" i="11" s="1"/>
  <c r="B17" i="3"/>
  <c r="M16" i="11" s="1"/>
  <c r="B19" i="3"/>
  <c r="M18" i="11" s="1"/>
  <c r="B20" i="3"/>
  <c r="M19" i="11" s="1"/>
  <c r="B21" i="3"/>
  <c r="M20" i="11" s="1"/>
  <c r="B22" i="3"/>
  <c r="M21" i="11" s="1"/>
  <c r="F16" i="3"/>
  <c r="Q15" i="11" s="1"/>
  <c r="E16" i="3"/>
  <c r="P15" i="11" s="1"/>
  <c r="D16" i="3"/>
  <c r="O15" i="11" s="1"/>
  <c r="C16" i="3"/>
  <c r="N15" i="11" s="1"/>
  <c r="B16" i="3"/>
  <c r="N9" i="11"/>
  <c r="BG6" i="2"/>
  <c r="BF6" i="2"/>
  <c r="AF6" i="2"/>
  <c r="AE6" i="2"/>
  <c r="AG6" i="2"/>
  <c r="AD6" i="2"/>
  <c r="T6" i="2"/>
  <c r="S6" i="2"/>
  <c r="R6" i="2"/>
  <c r="Q6" i="2"/>
  <c r="P6" i="2"/>
  <c r="G7" i="2"/>
  <c r="G6" i="2" s="1"/>
  <c r="F26" i="2" s="1"/>
  <c r="AU6" i="2"/>
  <c r="F7" i="2"/>
  <c r="AT6" i="2"/>
  <c r="BT6" i="2"/>
  <c r="E7" i="2"/>
  <c r="E6" i="2" s="1"/>
  <c r="AS6" i="2"/>
  <c r="BS6" i="2"/>
  <c r="D7" i="2"/>
  <c r="AR6" i="2"/>
  <c r="BR6" i="2"/>
  <c r="H12" i="3"/>
  <c r="G12" i="3"/>
  <c r="D12" i="3"/>
  <c r="B17" i="11" s="1"/>
  <c r="C12" i="3"/>
  <c r="C6" i="1" s="1"/>
  <c r="B7" i="2"/>
  <c r="C7" i="2"/>
  <c r="F12" i="3"/>
  <c r="F6" i="1" s="1"/>
  <c r="O22" i="11" s="1"/>
  <c r="BP6" i="2"/>
  <c r="AC6" i="2"/>
  <c r="AP6" i="2"/>
  <c r="O6" i="2"/>
  <c r="AQ6" i="2"/>
  <c r="BQ6" i="2"/>
  <c r="E12" i="3"/>
  <c r="E6" i="1" s="1"/>
  <c r="AP11" i="2" l="1"/>
  <c r="M7" i="11" s="1"/>
  <c r="AQ11" i="2"/>
  <c r="N7" i="11" s="1"/>
  <c r="AR11" i="2"/>
  <c r="O7" i="11" s="1"/>
  <c r="AS11" i="2"/>
  <c r="P7" i="11" s="1"/>
  <c r="AT11" i="2"/>
  <c r="Q7" i="11" s="1"/>
  <c r="E17" i="11"/>
  <c r="G6" i="1"/>
  <c r="P22" i="11" s="1"/>
  <c r="H6" i="1"/>
  <c r="D6" i="1"/>
  <c r="M22" i="11" s="1"/>
  <c r="F9" i="11"/>
  <c r="F17" i="11"/>
  <c r="R5" i="11"/>
  <c r="D17" i="11"/>
  <c r="Q10" i="11"/>
  <c r="AE10" i="2"/>
  <c r="O6" i="11" s="1"/>
  <c r="BS14" i="2"/>
  <c r="P9" i="11" s="1"/>
  <c r="E5" i="1"/>
  <c r="B6" i="2"/>
  <c r="B5" i="1" s="1"/>
  <c r="F6" i="2"/>
  <c r="D9" i="11" s="1"/>
  <c r="BP14" i="2"/>
  <c r="M9" i="11" s="1"/>
  <c r="AD10" i="2"/>
  <c r="N6" i="11" s="1"/>
  <c r="Q18" i="2"/>
  <c r="O5" i="11" s="1"/>
  <c r="R18" i="2"/>
  <c r="P5" i="11" s="1"/>
  <c r="S18" i="2"/>
  <c r="Q5" i="11" s="1"/>
  <c r="O18" i="2"/>
  <c r="M5" i="11" s="1"/>
  <c r="C6" i="2"/>
  <c r="C5" i="1" s="1"/>
  <c r="C7" i="1" s="1"/>
  <c r="AC10" i="2"/>
  <c r="M6" i="11" s="1"/>
  <c r="BR14" i="2"/>
  <c r="O9" i="11" s="1"/>
  <c r="AF10" i="2"/>
  <c r="P6" i="11" s="1"/>
  <c r="BT14" i="2"/>
  <c r="Q9" i="11" s="1"/>
  <c r="D6" i="2"/>
  <c r="P18" i="2"/>
  <c r="N5" i="11" s="1"/>
  <c r="BQ14" i="2"/>
  <c r="M15" i="11"/>
  <c r="C17" i="11"/>
  <c r="AG10" i="2"/>
  <c r="Q6" i="11" s="1"/>
  <c r="P17" i="11"/>
  <c r="Q22" i="11" l="1"/>
  <c r="R22" i="11"/>
  <c r="N22" i="11"/>
  <c r="B9" i="11"/>
  <c r="D5" i="1"/>
  <c r="M11" i="11" s="1"/>
  <c r="E7" i="1"/>
  <c r="C5" i="11" s="1"/>
  <c r="N11" i="11"/>
  <c r="G5" i="1"/>
  <c r="E26" i="2"/>
  <c r="P10" i="11" s="1"/>
  <c r="F5" i="1"/>
  <c r="F7" i="1" s="1"/>
  <c r="D5" i="11" s="1"/>
  <c r="E9" i="11"/>
  <c r="C26" i="2"/>
  <c r="N10" i="11" s="1"/>
  <c r="H5" i="1"/>
  <c r="D26" i="2"/>
  <c r="O10" i="11" s="1"/>
  <c r="C9" i="11"/>
  <c r="B26" i="2"/>
  <c r="M10" i="11" s="1"/>
  <c r="D7" i="1" l="1"/>
  <c r="B5" i="11" s="1"/>
  <c r="H7" i="1"/>
  <c r="F5" i="11" s="1"/>
  <c r="Q11" i="11"/>
  <c r="R11" i="11"/>
  <c r="G7" i="1"/>
  <c r="E5" i="11" s="1"/>
  <c r="P11" i="11"/>
  <c r="O11" i="11"/>
</calcChain>
</file>

<file path=xl/sharedStrings.xml><?xml version="1.0" encoding="utf-8"?>
<sst xmlns="http://schemas.openxmlformats.org/spreadsheetml/2006/main" count="573" uniqueCount="210">
  <si>
    <t>Spending for Watershed Restoration (Fiscal Year 2014-2022): Funding Levels Reported in Millions of Dollars</t>
  </si>
  <si>
    <t>Source: Chesapeake Bay Restoration Spending Crosscut</t>
  </si>
  <si>
    <r>
      <rPr>
        <b/>
        <sz val="12"/>
        <color rgb="FF000000"/>
        <rFont val="Calibri"/>
        <family val="2"/>
      </rPr>
      <t>Infrastructure Investment and Jobs Act</t>
    </r>
    <r>
      <rPr>
        <vertAlign val="superscript"/>
        <sz val="9"/>
        <color rgb="FF000000"/>
        <rFont val="Calibri"/>
        <family val="2"/>
      </rPr>
      <t>1</t>
    </r>
  </si>
  <si>
    <t>FY2014</t>
  </si>
  <si>
    <t>FY2015</t>
  </si>
  <si>
    <t>FY2016</t>
  </si>
  <si>
    <t>FY2017</t>
  </si>
  <si>
    <t>FY2018</t>
  </si>
  <si>
    <t>FY2019</t>
  </si>
  <si>
    <t>FY2020</t>
  </si>
  <si>
    <t>FY2021</t>
  </si>
  <si>
    <t>FY2022</t>
  </si>
  <si>
    <t>FY2023 (Budgeted)</t>
  </si>
  <si>
    <t>FY2022 IIJA</t>
  </si>
  <si>
    <t>FY2023 IIJA (Allocated)</t>
  </si>
  <si>
    <t>Federal Agency Spending</t>
  </si>
  <si>
    <t>State Program Spending</t>
  </si>
  <si>
    <t>Incomplete reporting.</t>
  </si>
  <si>
    <t>N/A</t>
  </si>
  <si>
    <t>TOTAL</t>
  </si>
  <si>
    <r>
      <rPr>
        <vertAlign val="superscript"/>
        <sz val="9"/>
        <color rgb="FF000000"/>
        <rFont val="Calibri"/>
        <family val="2"/>
      </rPr>
      <t xml:space="preserve">1 </t>
    </r>
    <r>
      <rPr>
        <sz val="9"/>
        <color rgb="FF000000"/>
        <rFont val="Calibri"/>
        <family val="2"/>
      </rPr>
      <t>The Infrastructure Investment and Jobs Act (IIJA), signed into law in 2021, provides federal funding for Chesapeake Bay watershed restoration activities over five years, starting with fiscal year 2022. https://www.whitehouse.gov/build/a-guidebook-to-the-bipartisan-infrastructure-law/</t>
    </r>
  </si>
  <si>
    <t>Federal Agency Spending for Watershed Restoration (Fiscal Year 2014-2022): Funding Levels Reported in Millions of Dollars</t>
  </si>
  <si>
    <t>Source: Chesapeake Bay Restoration Spending Crosscut: Federal Data</t>
  </si>
  <si>
    <r>
      <t>Infrastructure Investment and Jobs Act</t>
    </r>
    <r>
      <rPr>
        <b/>
        <vertAlign val="superscript"/>
        <sz val="8"/>
        <color rgb="FF000000"/>
        <rFont val="Calibri"/>
        <family val="2"/>
      </rPr>
      <t>1</t>
    </r>
  </si>
  <si>
    <t>Federal Agency Total 2022</t>
  </si>
  <si>
    <t>Federal Agency Total Budgeted for 2023</t>
  </si>
  <si>
    <t xml:space="preserve">FY2019 </t>
  </si>
  <si>
    <t>FY2023 (President's Budget)</t>
  </si>
  <si>
    <t>FY2022 IIJA Allocation</t>
  </si>
  <si>
    <t xml:space="preserve">FY2023 IIJA </t>
  </si>
  <si>
    <t>FY2023 IIJA</t>
  </si>
  <si>
    <t xml:space="preserve">FY2022 </t>
  </si>
  <si>
    <t>U.S. Environmental Protection Agency</t>
  </si>
  <si>
    <t>U.S. Department of Agriculture</t>
  </si>
  <si>
    <t>U.S. Department of Commerce</t>
  </si>
  <si>
    <t>TBD</t>
  </si>
  <si>
    <t>U.S. Department of Defense</t>
  </si>
  <si>
    <t xml:space="preserve">U.S. Department of Homeland Security </t>
  </si>
  <si>
    <t>No spending reported.</t>
  </si>
  <si>
    <t>U.S. Department of the Interior</t>
  </si>
  <si>
    <t>Chesapeake Bay Program Office</t>
  </si>
  <si>
    <t>Animal and Plant Health Inspection Service</t>
  </si>
  <si>
    <t>National Oceanic and Atmospheric Administration</t>
  </si>
  <si>
    <t>Services</t>
  </si>
  <si>
    <t>TRACEN Yorktown &amp; Base Ports Sanitary Sewer System</t>
  </si>
  <si>
    <t>U.S. Fish and Wildlife Service</t>
  </si>
  <si>
    <t>Program Operations and Support</t>
  </si>
  <si>
    <t>Agricultural Research Service</t>
  </si>
  <si>
    <t>U.S. Army Corps of Engineers</t>
  </si>
  <si>
    <t>TRACEN Yorktown - Parking Lot Upgrades with Stormwater BMPS</t>
  </si>
  <si>
    <t>National Park Service</t>
  </si>
  <si>
    <t>Partnership and Data Management Support</t>
  </si>
  <si>
    <t>Economic Research Service</t>
  </si>
  <si>
    <t>Change in Operating Levels</t>
  </si>
  <si>
    <t>FY15-16</t>
  </si>
  <si>
    <t>FY16-17</t>
  </si>
  <si>
    <t>FY17-18</t>
  </si>
  <si>
    <t>FY18-19</t>
  </si>
  <si>
    <t>FY19-20</t>
  </si>
  <si>
    <t>FY20-21</t>
  </si>
  <si>
    <t>FY21-22</t>
  </si>
  <si>
    <t>FY22-23</t>
  </si>
  <si>
    <t>Base Portsmouth - Special Requirements TMDL Stormwater Program</t>
  </si>
  <si>
    <t>U.S. Geological Survey</t>
  </si>
  <si>
    <t>Water Quality Monitoring Grants</t>
  </si>
  <si>
    <t>Farm Service Agency</t>
  </si>
  <si>
    <t>Coast Guard Yard - TMDL Stormwater Program</t>
  </si>
  <si>
    <t>TMDL Implementation and Analysis</t>
  </si>
  <si>
    <t>Rural Development</t>
  </si>
  <si>
    <t>-</t>
  </si>
  <si>
    <t>Coast Guard Yard - ShipLift Treatment System</t>
  </si>
  <si>
    <t>Reporting and Accountability</t>
  </si>
  <si>
    <t>Forest Service</t>
  </si>
  <si>
    <t>Permit Review and Rule Development, Guidance and Implementation</t>
  </si>
  <si>
    <t>Natural Resource Conservation Service</t>
  </si>
  <si>
    <t>NA</t>
  </si>
  <si>
    <t>Percent Change</t>
  </si>
  <si>
    <t>Enforcement</t>
  </si>
  <si>
    <t>National Institute of Food and Agriculture</t>
  </si>
  <si>
    <t>Small Watershed Grants</t>
  </si>
  <si>
    <t>Office of the Chief Economist</t>
  </si>
  <si>
    <t>Innovative Nutrient and Sediment Reduction Grants</t>
  </si>
  <si>
    <t>State Implementation Grants (CWA Sec. 117)</t>
  </si>
  <si>
    <t>Office of Water</t>
  </si>
  <si>
    <t>Non-Point Source Grants (CWA Sec. 319)</t>
  </si>
  <si>
    <t>Pollution Control Grants (CWA Sec. 106)</t>
  </si>
  <si>
    <t>Pollution Control Grants Monitoring (CWA Sec. 106)</t>
  </si>
  <si>
    <t>Infrastructure Assistance Grants: Clean Water SRF</t>
  </si>
  <si>
    <t>Sewer Overflow and Stormwater Reuse Municipal Grants (OSG) program assistance</t>
  </si>
  <si>
    <r>
      <rPr>
        <vertAlign val="superscript"/>
        <sz val="9"/>
        <color rgb="FF000000"/>
        <rFont val="Calibri"/>
        <family val="2"/>
      </rPr>
      <t>1</t>
    </r>
    <r>
      <rPr>
        <sz val="9"/>
        <color rgb="FF000000"/>
        <rFont val="Calibri"/>
        <family val="2"/>
      </rPr>
      <t>The Infrastructure Investment and Jobs Act (IIJA), signed into law in 2021, provides federal funding for Chesapeake Bay watershed restoration activities over five years, starting with fiscal year 2022. https://www.whitehouse.gov/build/a-guidebook-to-the-bipartisan-infrastructure-law/</t>
    </r>
  </si>
  <si>
    <t>State Program Spending for Watershed Restoration (Fiscal Year 2014-2022): Funding Levels Reported in Millions of Dollars</t>
  </si>
  <si>
    <t>Source: Chesapeake Bay Restoration Spending Crosscut: State Data</t>
  </si>
  <si>
    <t>Delaware</t>
  </si>
  <si>
    <t>District of Columbia</t>
  </si>
  <si>
    <t>Maryland</t>
  </si>
  <si>
    <t>No funds reported.</t>
  </si>
  <si>
    <t>New York</t>
  </si>
  <si>
    <t>Pennsylvania</t>
  </si>
  <si>
    <t>Virginia</t>
  </si>
  <si>
    <t>West Virginia</t>
  </si>
  <si>
    <t>Jurisdiction</t>
  </si>
  <si>
    <t>FY15 - FY16</t>
  </si>
  <si>
    <t>FY16 - FY17</t>
  </si>
  <si>
    <t>FY17 - FY18</t>
  </si>
  <si>
    <t>FY18 - FY19</t>
  </si>
  <si>
    <t>FY19 - FY20</t>
  </si>
  <si>
    <t>All Reporting Jurisdictions</t>
  </si>
  <si>
    <t xml:space="preserve">State Grant Allocations from the U.S. Environmental Protection Agency (Fiscal Year 2016-2021) </t>
  </si>
  <si>
    <t>Source: U.S. Environmental Protection Agency Chesapeake Bay Program Office: CBARA State Breakout</t>
  </si>
  <si>
    <t>ALL JURISDICATIONS TOTAL</t>
  </si>
  <si>
    <r>
      <t>FY2022 IIJA Allocation</t>
    </r>
    <r>
      <rPr>
        <b/>
        <vertAlign val="superscript"/>
        <sz val="9"/>
        <color theme="1"/>
        <rFont val="Calibri"/>
        <family val="2"/>
        <scheme val="minor"/>
      </rPr>
      <t>4</t>
    </r>
  </si>
  <si>
    <r>
      <t>FY2022 IIJA Allocation</t>
    </r>
    <r>
      <rPr>
        <b/>
        <vertAlign val="superscript"/>
        <sz val="12"/>
        <color rgb="FF000000"/>
        <rFont val="Calibri"/>
        <family val="2"/>
        <scheme val="minor"/>
      </rPr>
      <t>4</t>
    </r>
  </si>
  <si>
    <r>
      <t>FY2022 IIJA Allocation</t>
    </r>
    <r>
      <rPr>
        <vertAlign val="superscript"/>
        <sz val="12"/>
        <color rgb="FF000000"/>
        <rFont val="Calibri"/>
        <family val="2"/>
        <scheme val="minor"/>
      </rPr>
      <t>4</t>
    </r>
  </si>
  <si>
    <r>
      <t>FY2022 IIJA</t>
    </r>
    <r>
      <rPr>
        <vertAlign val="superscript"/>
        <sz val="12"/>
        <color rgb="FF000000"/>
        <rFont val="Calibri"/>
        <family val="2"/>
        <scheme val="minor"/>
      </rPr>
      <t>4</t>
    </r>
    <r>
      <rPr>
        <b/>
        <sz val="12"/>
        <color rgb="FF000000"/>
        <rFont val="Calibri"/>
        <family val="2"/>
        <scheme val="minor"/>
      </rPr>
      <t xml:space="preserve"> Allocation</t>
    </r>
  </si>
  <si>
    <t>Chesapeake Bay Implementation Grants (CBIG)</t>
  </si>
  <si>
    <t>Chesapeake Bay Restoration and Protection (CBRAP)</t>
  </si>
  <si>
    <r>
      <rPr>
        <sz val="12"/>
        <color rgb="FF000000"/>
        <rFont val="Calibri"/>
        <family val="2"/>
      </rPr>
      <t xml:space="preserve">Local Government Implementation (LGI) </t>
    </r>
    <r>
      <rPr>
        <vertAlign val="superscript"/>
        <sz val="12"/>
        <color rgb="FF000000"/>
        <rFont val="Calibri"/>
        <family val="2"/>
      </rPr>
      <t>2</t>
    </r>
  </si>
  <si>
    <t>WIP Assistance</t>
  </si>
  <si>
    <r>
      <t>Most Effective Basins (MEB)</t>
    </r>
    <r>
      <rPr>
        <vertAlign val="superscript"/>
        <sz val="12"/>
        <color theme="1"/>
        <rFont val="Calibri (Body)"/>
      </rPr>
      <t>3</t>
    </r>
  </si>
  <si>
    <t>Monitoring</t>
  </si>
  <si>
    <r>
      <rPr>
        <sz val="12"/>
        <color rgb="FF000000"/>
        <rFont val="Calibri"/>
      </rPr>
      <t>Other</t>
    </r>
    <r>
      <rPr>
        <vertAlign val="superscript"/>
        <sz val="12"/>
        <color rgb="FF000000"/>
        <rFont val="Calibri"/>
      </rPr>
      <t>1</t>
    </r>
  </si>
  <si>
    <t xml:space="preserve">Subtotal </t>
  </si>
  <si>
    <t>Grantee Match</t>
  </si>
  <si>
    <r>
      <t>1</t>
    </r>
    <r>
      <rPr>
        <sz val="9"/>
        <color theme="1"/>
        <rFont val="Calibri"/>
        <family val="2"/>
        <scheme val="minor"/>
      </rPr>
      <t>Includes directed EPA regional Bay funding.</t>
    </r>
  </si>
  <si>
    <r>
      <t>2</t>
    </r>
    <r>
      <rPr>
        <sz val="9"/>
        <color rgb="FF000000"/>
        <rFont val="Calibri"/>
        <family val="2"/>
      </rPr>
      <t>PA Local Government Implementation funding shows $0 beginning in FY18 because the funding ($1,190,544/year) was redirected towards the Small Watersheds Grant per PADEP's request to ensure faster on-the-ground project implementation.</t>
    </r>
  </si>
  <si>
    <r>
      <t>3</t>
    </r>
    <r>
      <rPr>
        <sz val="9"/>
        <color rgb="FF000000"/>
        <rFont val="Calibri"/>
        <family val="2"/>
      </rPr>
      <t>PA's share of the MEB funds in the amount of $3,395,112/yr for FY20-FY22 were awarded in a competitive grant to NFWF and not reflected in this table. For more information on the MEB grants: https://www.epa.gov/sites/production/files/2020-05/documents/effectivenessrationale.pdf.</t>
    </r>
  </si>
  <si>
    <r>
      <rPr>
        <vertAlign val="superscript"/>
        <sz val="8"/>
        <color rgb="FF000000"/>
        <rFont val="Calibri"/>
        <family val="2"/>
      </rPr>
      <t>4</t>
    </r>
    <r>
      <rPr>
        <sz val="9"/>
        <color rgb="FF000000"/>
        <rFont val="Calibri"/>
        <family val="2"/>
      </rPr>
      <t>The Infrastructure Investment and Jobs Act (IIJA), signed into law in 2021, provides federal funding for Chesapeake Bay watershed restoration activities over five years, starting with fiscal year 2022. Grantee match was waived for the first year of funding. https://www.whitehouse.gov/build/a-guidebook-to-the-bipartisan-infrastructure-law/</t>
    </r>
  </si>
  <si>
    <t>Chesapeake Bay Competitively Awarded Directed Funds (Fiscal Year 2016-2022)</t>
  </si>
  <si>
    <t>Source: U.S. Environmental Protection Agency Chesapeake Bay Program Office:  CBSF EPA Slate</t>
  </si>
  <si>
    <t>Note: Currently administered through the National Fish &amp; Wildlife Foundation</t>
  </si>
  <si>
    <t>TOTALS</t>
  </si>
  <si>
    <r>
      <t>FY2022 IIJA</t>
    </r>
    <r>
      <rPr>
        <vertAlign val="superscript"/>
        <sz val="12"/>
        <color rgb="FF000000"/>
        <rFont val="Calibri"/>
        <family val="2"/>
        <scheme val="minor"/>
      </rPr>
      <t>7</t>
    </r>
    <r>
      <rPr>
        <b/>
        <sz val="12"/>
        <color rgb="FF000000"/>
        <rFont val="Calibri"/>
        <family val="2"/>
        <scheme val="minor"/>
      </rPr>
      <t xml:space="preserve"> </t>
    </r>
  </si>
  <si>
    <r>
      <rPr>
        <b/>
        <sz val="12"/>
        <color rgb="FF000000"/>
        <rFont val="Calibri"/>
      </rPr>
      <t>FY2022 IIJA</t>
    </r>
    <r>
      <rPr>
        <vertAlign val="superscript"/>
        <sz val="12"/>
        <color rgb="FF000000"/>
        <rFont val="Calibri"/>
      </rPr>
      <t>7</t>
    </r>
    <r>
      <rPr>
        <b/>
        <sz val="12"/>
        <color rgb="FF000000"/>
        <rFont val="Calibri"/>
      </rPr>
      <t xml:space="preserve"> </t>
    </r>
  </si>
  <si>
    <t>Innovative Nutrient &amp; Sediment Reduction (INSR) Award Amount</t>
  </si>
  <si>
    <r>
      <t>Small Watershed Grants (SWG) Award Amount</t>
    </r>
    <r>
      <rPr>
        <vertAlign val="superscript"/>
        <sz val="12"/>
        <color theme="1"/>
        <rFont val="Calibri"/>
        <family val="2"/>
        <scheme val="minor"/>
      </rPr>
      <t>5</t>
    </r>
  </si>
  <si>
    <r>
      <t>Most Effective Basins (MEB) Award Amount</t>
    </r>
    <r>
      <rPr>
        <vertAlign val="superscript"/>
        <sz val="12"/>
        <color theme="1"/>
        <rFont val="Calibri (Body)"/>
      </rPr>
      <t>1,2</t>
    </r>
    <r>
      <rPr>
        <sz val="12"/>
        <color theme="1"/>
        <rFont val="Calibri"/>
        <family val="2"/>
        <scheme val="minor"/>
      </rPr>
      <t xml:space="preserve"> </t>
    </r>
  </si>
  <si>
    <t>Leveraged Funds:</t>
  </si>
  <si>
    <r>
      <t>Other Federal Award Amount</t>
    </r>
    <r>
      <rPr>
        <vertAlign val="superscript"/>
        <sz val="12"/>
        <color theme="1"/>
        <rFont val="Calibri"/>
        <family val="2"/>
        <scheme val="minor"/>
      </rPr>
      <t>3</t>
    </r>
    <r>
      <rPr>
        <sz val="12"/>
        <color theme="1"/>
        <rFont val="Calibri"/>
        <family val="2"/>
        <scheme val="minor"/>
      </rPr>
      <t xml:space="preserve"> </t>
    </r>
  </si>
  <si>
    <r>
      <t>Private Award Amount</t>
    </r>
    <r>
      <rPr>
        <vertAlign val="superscript"/>
        <sz val="12"/>
        <color theme="1"/>
        <rFont val="Calibri"/>
        <family val="2"/>
        <scheme val="minor"/>
      </rPr>
      <t>4</t>
    </r>
  </si>
  <si>
    <t>Grantee Match Amount</t>
  </si>
  <si>
    <r>
      <t>Total Award Amount</t>
    </r>
    <r>
      <rPr>
        <vertAlign val="superscript"/>
        <sz val="12"/>
        <color theme="1"/>
        <rFont val="Calibri"/>
        <family val="2"/>
        <scheme val="minor"/>
      </rPr>
      <t>6</t>
    </r>
  </si>
  <si>
    <r>
      <rPr>
        <vertAlign val="superscript"/>
        <sz val="9"/>
        <color theme="1"/>
        <rFont val="Calibri"/>
        <family val="2"/>
        <scheme val="minor"/>
      </rPr>
      <t>1</t>
    </r>
    <r>
      <rPr>
        <sz val="9"/>
        <color theme="1"/>
        <rFont val="Calibri"/>
        <family val="2"/>
        <scheme val="minor"/>
      </rPr>
      <t>Additional directed MEB funds were awarded to the jurisdictions beginning in FY20 as part of their Chesapeake Bay Implementation Grants (CBIG) and are reflected in the EPA Grant Allocations table.</t>
    </r>
  </si>
  <si>
    <r>
      <rPr>
        <vertAlign val="superscript"/>
        <sz val="9"/>
        <color theme="1"/>
        <rFont val="Calibri"/>
        <family val="2"/>
        <scheme val="minor"/>
      </rPr>
      <t>2</t>
    </r>
    <r>
      <rPr>
        <sz val="9"/>
        <color theme="1"/>
        <rFont val="Calibri"/>
        <family val="2"/>
        <scheme val="minor"/>
      </rPr>
      <t>Part of Pennsylvania's MEB funds were awarded via a competitive grant to the National Fish and Wildlife Foundation to administer in PA.</t>
    </r>
  </si>
  <si>
    <r>
      <rPr>
        <vertAlign val="superscript"/>
        <sz val="9"/>
        <color theme="1"/>
        <rFont val="Calibri"/>
        <family val="2"/>
        <scheme val="minor"/>
      </rPr>
      <t>3</t>
    </r>
    <r>
      <rPr>
        <sz val="9"/>
        <color theme="1"/>
        <rFont val="Calibri"/>
        <family val="2"/>
        <scheme val="minor"/>
      </rPr>
      <t>In addition to the U.S. Environmental Protection Agency, contributors to this grant fund include the Natural Resources Conservation Service, the U.S. Forest Service, and the National Oceanic and Atmospheric Administration.</t>
    </r>
  </si>
  <si>
    <r>
      <rPr>
        <vertAlign val="superscript"/>
        <sz val="9"/>
        <color theme="1"/>
        <rFont val="Calibri"/>
        <family val="2"/>
        <scheme val="minor"/>
      </rPr>
      <t>4</t>
    </r>
    <r>
      <rPr>
        <sz val="9"/>
        <color theme="1"/>
        <rFont val="Calibri"/>
        <family val="2"/>
        <scheme val="minor"/>
      </rPr>
      <t>In addition to the U.S. Environmental Protection Agency, contributors to this grant fund include Altria Group, CSX and Alcoa.</t>
    </r>
  </si>
  <si>
    <r>
      <rPr>
        <vertAlign val="superscript"/>
        <sz val="9"/>
        <color theme="1"/>
        <rFont val="Calibri"/>
        <family val="2"/>
        <scheme val="minor"/>
      </rPr>
      <t>5</t>
    </r>
    <r>
      <rPr>
        <sz val="9"/>
        <color theme="1"/>
        <rFont val="Calibri"/>
        <family val="2"/>
        <scheme val="minor"/>
      </rPr>
      <t xml:space="preserve">Beginning in FY18, Pennsylvania's Local Government Implementation (LGI) funding, reflected as $0 in the EPA Grant Allocations table, was redirected towards the Small Watersheds Grant per PADEP's request to ensure faster on-the-ground project implementation. </t>
    </r>
  </si>
  <si>
    <r>
      <rPr>
        <vertAlign val="superscript"/>
        <sz val="9"/>
        <color theme="1"/>
        <rFont val="Calibri"/>
        <family val="2"/>
        <scheme val="minor"/>
      </rPr>
      <t>6</t>
    </r>
    <r>
      <rPr>
        <sz val="9"/>
        <color theme="1"/>
        <rFont val="Calibri"/>
        <family val="2"/>
        <scheme val="minor"/>
      </rPr>
      <t xml:space="preserve">All of these totals reflect only the amounts awarded competitively through NFWF’s INSR, SWG, and LGI subaward programs. It does not include directed partnership investments or program support contracts.  </t>
    </r>
  </si>
  <si>
    <r>
      <rPr>
        <vertAlign val="superscript"/>
        <sz val="9"/>
        <color rgb="FF000000"/>
        <rFont val="Calibri"/>
      </rPr>
      <t>7</t>
    </r>
    <r>
      <rPr>
        <sz val="9"/>
        <color rgb="FF000000"/>
        <rFont val="Calibri"/>
      </rPr>
      <t>The Infrastructure Investment and Jobs Act (IIJA), signed into law in 2021, provides federal funding for Chesapeake Bay watershed restoration activities over five years, starting with fiscal year 2022.</t>
    </r>
  </si>
  <si>
    <t>2022 Chesapeake Bay Competitively Awarded Directed Funds</t>
  </si>
  <si>
    <t>Small Watershed Grants (SWG) Award Amount</t>
  </si>
  <si>
    <r>
      <rPr>
        <b/>
        <sz val="12"/>
        <color rgb="FF000000"/>
        <rFont val="Calibri"/>
      </rPr>
      <t>Most Effective Basins (MEB) Award Amount</t>
    </r>
    <r>
      <rPr>
        <b/>
        <vertAlign val="superscript"/>
        <sz val="12"/>
        <color rgb="FF000000"/>
        <rFont val="Calibri"/>
      </rPr>
      <t xml:space="preserve">1 </t>
    </r>
    <r>
      <rPr>
        <b/>
        <sz val="12"/>
        <color rgb="FF000000"/>
        <rFont val="Calibri"/>
      </rPr>
      <t xml:space="preserve">                                       </t>
    </r>
  </si>
  <si>
    <t>Leveraged Funds</t>
  </si>
  <si>
    <r>
      <t>Total
Award Amount</t>
    </r>
    <r>
      <rPr>
        <b/>
        <vertAlign val="superscript"/>
        <sz val="12"/>
        <color theme="1"/>
        <rFont val="Calibri"/>
        <family val="2"/>
        <scheme val="minor"/>
      </rPr>
      <t>6</t>
    </r>
  </si>
  <si>
    <r>
      <t>Other Federal
Award Amount</t>
    </r>
    <r>
      <rPr>
        <b/>
        <vertAlign val="superscript"/>
        <sz val="12"/>
        <rFont val="Calibri"/>
        <family val="2"/>
        <scheme val="minor"/>
      </rPr>
      <t>3</t>
    </r>
  </si>
  <si>
    <r>
      <t>Private
Award Amount</t>
    </r>
    <r>
      <rPr>
        <b/>
        <vertAlign val="superscript"/>
        <sz val="12"/>
        <rFont val="Calibri"/>
        <family val="2"/>
        <scheme val="minor"/>
      </rPr>
      <t>4</t>
    </r>
  </si>
  <si>
    <t>Grantee Match
Amount</t>
  </si>
  <si>
    <t>DE</t>
  </si>
  <si>
    <t>DC</t>
  </si>
  <si>
    <t>MD</t>
  </si>
  <si>
    <t>NY</t>
  </si>
  <si>
    <r>
      <t>PA</t>
    </r>
    <r>
      <rPr>
        <vertAlign val="superscript"/>
        <sz val="12"/>
        <color rgb="FF000000"/>
        <rFont val="Calibri"/>
        <family val="2"/>
      </rPr>
      <t>2,5</t>
    </r>
  </si>
  <si>
    <t>VA</t>
  </si>
  <si>
    <t>WV</t>
  </si>
  <si>
    <t>Total</t>
  </si>
  <si>
    <r>
      <rPr>
        <vertAlign val="superscript"/>
        <sz val="9"/>
        <color rgb="FF000000"/>
        <rFont val="Calibri"/>
      </rPr>
      <t>1</t>
    </r>
    <r>
      <rPr>
        <sz val="9"/>
        <color rgb="FF000000"/>
        <rFont val="Calibri"/>
      </rPr>
      <t>Additional directed MEB funds totaling $3,554,888 were awarded to the jurisdictions as part of their Chesapeake Bay Implementation Grants (CBIG) and are reflected in the EPA Grant Allocation table.</t>
    </r>
  </si>
  <si>
    <r>
      <rPr>
        <vertAlign val="superscript"/>
        <sz val="9"/>
        <color rgb="FF000000"/>
        <rFont val="Calibri"/>
        <family val="2"/>
      </rPr>
      <t>2</t>
    </r>
    <r>
      <rPr>
        <sz val="9"/>
        <color rgb="FF000000"/>
        <rFont val="Calibri"/>
        <family val="2"/>
      </rPr>
      <t>Part of Pennsylvania's MEB funds were awarded via a competitive grant to the National Fish and Wildlife Foundation to administer in PA.</t>
    </r>
  </si>
  <si>
    <r>
      <t>3</t>
    </r>
    <r>
      <rPr>
        <sz val="9"/>
        <color theme="1"/>
        <rFont val="Calibri"/>
        <family val="2"/>
        <scheme val="minor"/>
      </rPr>
      <t>In addition to the U.S. Environmental Protection Agency, contributors to this grant fund include the Natural Resources Conservation Service, the U.S. Forest Service, and the National Oceanic and Atmospheric Administration.</t>
    </r>
  </si>
  <si>
    <r>
      <t>4</t>
    </r>
    <r>
      <rPr>
        <sz val="9"/>
        <color theme="1"/>
        <rFont val="Calibri"/>
        <family val="2"/>
        <scheme val="minor"/>
      </rPr>
      <t>In addition to the U.S. Environmental Protection Agency, contributors to this grant fund include Altria Group, CSX and Alcoa.</t>
    </r>
  </si>
  <si>
    <r>
      <t>5</t>
    </r>
    <r>
      <rPr>
        <sz val="9"/>
        <color rgb="FF000000"/>
        <rFont val="Calibri"/>
      </rPr>
      <t xml:space="preserve">Beginning in FY18, Pennsylvania's Local Government Implementation funding ($1,190,544/year) was redirected towards the Small Watersheds Grant program per PADEP's request to ensure faster on-the-ground project implementation. </t>
    </r>
  </si>
  <si>
    <r>
      <rPr>
        <vertAlign val="superscript"/>
        <sz val="9"/>
        <color rgb="FF000000"/>
        <rFont val="Calibri"/>
      </rPr>
      <t>6</t>
    </r>
    <r>
      <rPr>
        <sz val="9"/>
        <color rgb="FF000000"/>
        <rFont val="Calibri"/>
      </rPr>
      <t xml:space="preserve">All of these totals reflect only the amounts awarded competitively through NFWF’s INSR, SWG, and LGI subaward programs in 2022. It does not include directed partnership investments or program support contracts.  </t>
    </r>
  </si>
  <si>
    <t>2022 Infrastructure Investment and Jobs Act (IIJA) Chesapeake Bay Funds</t>
  </si>
  <si>
    <t>Sources: Chesapeake Bay Restoration Spending Crosscut, U.S. Environmental Protection Agency Chesapeake Bay Program Office: CBARA State Breakout and CBSF EPA Slate</t>
  </si>
  <si>
    <r>
      <t>Total amount allocated to federal agencies (in millions)</t>
    </r>
    <r>
      <rPr>
        <vertAlign val="superscript"/>
        <sz val="12"/>
        <color rgb="FF000000"/>
        <rFont val="Calibri"/>
        <family val="2"/>
      </rPr>
      <t>1</t>
    </r>
  </si>
  <si>
    <r>
      <t>Total amount allocated for Most Effective Basins, all jurisdictions (in dollars)</t>
    </r>
    <r>
      <rPr>
        <vertAlign val="superscript"/>
        <sz val="12"/>
        <color theme="1"/>
        <rFont val="Calibri"/>
        <family val="2"/>
        <scheme val="minor"/>
      </rPr>
      <t>2</t>
    </r>
  </si>
  <si>
    <r>
      <t>Total amount awarded for Small Watershed Grants, all jurisdictions (in dollars)</t>
    </r>
    <r>
      <rPr>
        <vertAlign val="superscript"/>
        <sz val="12"/>
        <color theme="1"/>
        <rFont val="Calibri"/>
        <family val="2"/>
        <scheme val="minor"/>
      </rPr>
      <t>3</t>
    </r>
  </si>
  <si>
    <r>
      <t>Total amount awarded for Innovative Nutrient and Sediment Reduction Grants, all jurisdictions (in dollars)</t>
    </r>
    <r>
      <rPr>
        <vertAlign val="superscript"/>
        <sz val="12"/>
        <color theme="1"/>
        <rFont val="Calibri"/>
        <family val="2"/>
        <scheme val="minor"/>
      </rPr>
      <t>3</t>
    </r>
  </si>
  <si>
    <r>
      <rPr>
        <vertAlign val="superscript"/>
        <sz val="9"/>
        <color theme="1"/>
        <rFont val="Calibri"/>
        <family val="2"/>
        <scheme val="minor"/>
      </rPr>
      <t>1</t>
    </r>
    <r>
      <rPr>
        <sz val="9"/>
        <color theme="1"/>
        <rFont val="Calibri"/>
        <family val="2"/>
        <scheme val="minor"/>
      </rPr>
      <t>Chesapeake Bay Restoration Spending Crosscut</t>
    </r>
  </si>
  <si>
    <r>
      <rPr>
        <vertAlign val="superscript"/>
        <sz val="9"/>
        <color theme="1"/>
        <rFont val="Calibri"/>
        <family val="2"/>
        <scheme val="minor"/>
      </rPr>
      <t>2</t>
    </r>
    <r>
      <rPr>
        <sz val="9"/>
        <color theme="1"/>
        <rFont val="Calibri"/>
        <family val="2"/>
        <scheme val="minor"/>
      </rPr>
      <t>From EPA Grant Allocations (FY16-22) tab</t>
    </r>
  </si>
  <si>
    <r>
      <rPr>
        <vertAlign val="superscript"/>
        <sz val="9"/>
        <color theme="1"/>
        <rFont val="Calibri"/>
        <family val="2"/>
        <scheme val="minor"/>
      </rPr>
      <t>3</t>
    </r>
    <r>
      <rPr>
        <sz val="9"/>
        <color theme="1"/>
        <rFont val="Calibri"/>
        <family val="2"/>
        <scheme val="minor"/>
      </rPr>
      <t>From Directed Funds (FY16-22) tab</t>
    </r>
  </si>
  <si>
    <t>Congressionally Directed Funds Summary (allocated and competitively awarded)</t>
  </si>
  <si>
    <r>
      <t>MEB (allocated)</t>
    </r>
    <r>
      <rPr>
        <b/>
        <vertAlign val="superscript"/>
        <sz val="12"/>
        <color theme="1"/>
        <rFont val="Calibri"/>
        <family val="2"/>
        <scheme val="minor"/>
      </rPr>
      <t>1</t>
    </r>
  </si>
  <si>
    <r>
      <t>INSR (competitive)</t>
    </r>
    <r>
      <rPr>
        <b/>
        <vertAlign val="superscript"/>
        <sz val="12"/>
        <color theme="1"/>
        <rFont val="Calibri"/>
        <family val="2"/>
        <scheme val="minor"/>
      </rPr>
      <t>2</t>
    </r>
  </si>
  <si>
    <r>
      <t>SWG (competitive)</t>
    </r>
    <r>
      <rPr>
        <b/>
        <vertAlign val="superscript"/>
        <sz val="12"/>
        <color theme="1"/>
        <rFont val="Calibri"/>
        <family val="2"/>
        <scheme val="minor"/>
      </rPr>
      <t>2</t>
    </r>
  </si>
  <si>
    <r>
      <t>Leveraged Funds</t>
    </r>
    <r>
      <rPr>
        <b/>
        <vertAlign val="superscript"/>
        <sz val="12"/>
        <color theme="1"/>
        <rFont val="Calibri"/>
        <family val="2"/>
        <scheme val="minor"/>
      </rPr>
      <t>3</t>
    </r>
  </si>
  <si>
    <r>
      <rPr>
        <vertAlign val="superscript"/>
        <sz val="9"/>
        <color theme="1"/>
        <rFont val="Calibri"/>
        <family val="2"/>
        <scheme val="minor"/>
      </rPr>
      <t>1</t>
    </r>
    <r>
      <rPr>
        <sz val="9"/>
        <color theme="1"/>
        <rFont val="Calibri"/>
        <family val="2"/>
        <scheme val="minor"/>
      </rPr>
      <t>From EPA Grant Allocations (FY16-22) tab</t>
    </r>
  </si>
  <si>
    <r>
      <rPr>
        <vertAlign val="superscript"/>
        <sz val="9"/>
        <color theme="1"/>
        <rFont val="Calibri"/>
        <family val="2"/>
        <scheme val="minor"/>
      </rPr>
      <t>2</t>
    </r>
    <r>
      <rPr>
        <sz val="9"/>
        <color theme="1"/>
        <rFont val="Calibri"/>
        <family val="2"/>
        <scheme val="minor"/>
      </rPr>
      <t>From Directed Funds (FY16-22) tab</t>
    </r>
  </si>
  <si>
    <r>
      <rPr>
        <vertAlign val="superscript"/>
        <sz val="9"/>
        <color theme="1"/>
        <rFont val="Calibri"/>
        <family val="2"/>
        <scheme val="minor"/>
      </rPr>
      <t>3</t>
    </r>
    <r>
      <rPr>
        <sz val="9"/>
        <color theme="1"/>
        <rFont val="Calibri"/>
        <family val="2"/>
        <scheme val="minor"/>
      </rPr>
      <t>In 2022, only INSR and SWG grants leveraged additional funds. The match requirement for the MEB grants was waived in 2022.</t>
    </r>
  </si>
  <si>
    <t>ChesapeakeProgress</t>
  </si>
  <si>
    <t>Funding</t>
  </si>
  <si>
    <t>2022 IIJA Allocation</t>
  </si>
  <si>
    <t>2023 Budgeted</t>
  </si>
  <si>
    <t>Federal Agency</t>
  </si>
  <si>
    <t>Amount state and federal partners allocated to environmental restoration (in millions)</t>
  </si>
  <si>
    <t>Federal Funding</t>
  </si>
  <si>
    <t>U.S. Department of Homeland Security</t>
  </si>
  <si>
    <t>Amount six of the seven agencies that make up the Federal Leadership Committee for the Chesapeake Bay—including the U.S. Environmental Protection Agency (EPA) and the Departments of Agriculture, Commerce, Defense, Homeland Security and the Interior—reported allocating to watershed restoration (in millions)</t>
  </si>
  <si>
    <t>All Reporting Agencies</t>
  </si>
  <si>
    <t>State Funding</t>
  </si>
  <si>
    <t>Amount the seven watershed jurisdictions—including Delaware, the District of Columbia, Maryland, New York, Pennsylvania, Virginia and West Virginia—reported allocating to watershed restoration through state programs (in millions)</t>
  </si>
  <si>
    <t>EPA Grant Funding</t>
  </si>
  <si>
    <t>Amount Watershed jurisdictions received non-competitively from EPA through Section 117 of the Clean Water Act (in whole dollars). This includes funds directed towards Most Effective Basins in each jurisdiction.</t>
  </si>
  <si>
    <r>
      <t xml:space="preserve">Amount of jurisdictional </t>
    </r>
    <r>
      <rPr>
        <b/>
        <sz val="11"/>
        <color theme="1"/>
        <rFont val="Calibri"/>
        <family val="2"/>
        <scheme val="minor"/>
      </rPr>
      <t>grant recipient match</t>
    </r>
    <r>
      <rPr>
        <sz val="11"/>
        <color theme="1"/>
        <rFont val="Calibri"/>
        <family val="2"/>
        <scheme val="minor"/>
      </rPr>
      <t xml:space="preserve"> for non-competitive EPA funded grants (Clean Water Act, Section 117).</t>
    </r>
  </si>
  <si>
    <t>Amount Watershed jurisdictions benefited from EPA's Small Watershed Grants and Innovative Nutrient and Sediment Reduction Grants, and, in Pennsylvania, Most Effective Basin grants (in whole dollars). These competitive grants are currently administered through the National Fish and Wildlife Foundation.</t>
  </si>
  <si>
    <r>
      <t>Amount Watershed jurisdictions benefited from</t>
    </r>
    <r>
      <rPr>
        <b/>
        <sz val="11"/>
        <color theme="1"/>
        <rFont val="Calibri"/>
        <family val="2"/>
        <scheme val="minor"/>
      </rPr>
      <t xml:space="preserve"> other funding awards</t>
    </r>
    <r>
      <rPr>
        <sz val="11"/>
        <color theme="1"/>
        <rFont val="Calibri"/>
        <family val="2"/>
        <scheme val="minor"/>
      </rPr>
      <t xml:space="preserve"> </t>
    </r>
    <r>
      <rPr>
        <b/>
        <sz val="11"/>
        <color theme="1"/>
        <rFont val="Calibri"/>
        <family val="2"/>
        <scheme val="minor"/>
      </rPr>
      <t xml:space="preserve">(leveraged by the National Fish and Wildlife Foundation) </t>
    </r>
    <r>
      <rPr>
        <sz val="11"/>
        <color theme="1"/>
        <rFont val="Calibri"/>
        <family val="2"/>
        <scheme val="minor"/>
      </rPr>
      <t>through Small Watershed Grants and Innovative Nutrient and Sediment Reduction Grants, and, in Pennsylvania, Most Effective Basin grants (in whole dollars).</t>
    </r>
  </si>
  <si>
    <r>
      <t>Amount Watershed jurisdictions benefited from</t>
    </r>
    <r>
      <rPr>
        <b/>
        <sz val="11"/>
        <color theme="1"/>
        <rFont val="Calibri"/>
        <family val="2"/>
        <scheme val="minor"/>
      </rPr>
      <t xml:space="preserve"> grant recipient match</t>
    </r>
    <r>
      <rPr>
        <sz val="11"/>
        <color theme="1"/>
        <rFont val="Calibri"/>
        <family val="2"/>
        <scheme val="minor"/>
      </rPr>
      <t xml:space="preserve"> through EPA's Small Watershed Grants and Innovative Nutrient and Sediment Reduction Grants, and, in Pennsylvania, Most Effective Basin grants (in whole dollars). These competitive grants are currently administered through the National Fish and Wildlife Foundation.</t>
    </r>
  </si>
  <si>
    <t>Total leveraged funds for competitive and non-competitive grants awarded through Section 117 of the Clean Water Act (in whole dollars). This amount (representing the grant recipient match and additional funds leveraged by the National Fish and Wildlife Foundation) reflects the capacity of federal funding to stimulate additional funding resources directed to the protection and restoration of the Chesapeake Bay watershed.</t>
  </si>
  <si>
    <t>IIJA Allocation</t>
  </si>
  <si>
    <t>Total amount allocated to federal agencies (in millions)</t>
  </si>
  <si>
    <t>Total amount allocated for Most Effective Basins, all jurisdictions (in dollars)</t>
  </si>
  <si>
    <t>Total amount allocated for Small Watershed Grants, all jurisdictions (in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</si>
</sst>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quot;$&quot;#,##0.0_);[Red]\(&quot;$&quot;#,##0.0\)"/>
    <numFmt numFmtId="165" formatCode="&quot;$&quot;#,##0.0"/>
    <numFmt numFmtId="166" formatCode="&quot;$&quot;#,##0.00"/>
    <numFmt numFmtId="167" formatCode="_(&quot;$&quot;* #,##0_);_(&quot;$&quot;* \(#,##0\);_(&quot;$&quot;* &quot;-&quot;??_);_(@_)"/>
    <numFmt numFmtId="168" formatCode="_(* #,##0_);_(* \(#,##0\);_(* &quot;-&quot;??_);_(@_)"/>
    <numFmt numFmtId="169" formatCode="0.0%"/>
    <numFmt numFmtId="170" formatCode="&quot;$&quot;#,##0"/>
    <numFmt numFmtId="171" formatCode="_([$$-409]* #,##0.0_);_([$$-409]* \(#,##0.0\);_([$$-409]* &quot;-&quot;??_);_(@_)"/>
  </numFmts>
  <fonts count="58">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theme="1" tint="0.499984740745262"/>
      <name val="Calibri"/>
      <family val="2"/>
      <scheme val="minor"/>
    </font>
    <font>
      <i/>
      <sz val="12"/>
      <color theme="1"/>
      <name val="Calibri"/>
      <family val="2"/>
      <scheme val="minor"/>
    </font>
    <font>
      <b/>
      <i/>
      <sz val="12"/>
      <color theme="1"/>
      <name val="Calibri"/>
      <family val="2"/>
      <scheme val="minor"/>
    </font>
    <font>
      <i/>
      <sz val="12"/>
      <color theme="1" tint="0.499984740745262"/>
      <name val="Calibri"/>
      <family val="2"/>
      <scheme val="minor"/>
    </font>
    <font>
      <b/>
      <sz val="12"/>
      <color theme="3"/>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b/>
      <i/>
      <sz val="12"/>
      <color theme="3"/>
      <name val="Calibri"/>
      <family val="2"/>
      <scheme val="minor"/>
    </font>
    <font>
      <sz val="8"/>
      <name val="Calibri"/>
      <family val="2"/>
      <scheme val="minor"/>
    </font>
    <font>
      <sz val="11"/>
      <color rgb="FF000000"/>
      <name val="Calibri"/>
      <family val="2"/>
    </font>
    <font>
      <i/>
      <sz val="11"/>
      <color rgb="FF000000"/>
      <name val="Calibri"/>
      <family val="2"/>
    </font>
    <font>
      <b/>
      <sz val="11"/>
      <color theme="1"/>
      <name val="Calibri"/>
      <family val="2"/>
    </font>
    <font>
      <sz val="11"/>
      <color theme="1"/>
      <name val="Calibri"/>
      <family val="2"/>
    </font>
    <font>
      <b/>
      <sz val="11"/>
      <color theme="1"/>
      <name val="Calibri"/>
      <family val="2"/>
      <scheme val="minor"/>
    </font>
    <font>
      <b/>
      <sz val="11"/>
      <color rgb="FF000000"/>
      <name val="Calibri"/>
      <family val="2"/>
    </font>
    <font>
      <sz val="12"/>
      <color theme="1"/>
      <name val="Cambria"/>
      <family val="1"/>
    </font>
    <font>
      <b/>
      <sz val="8"/>
      <color theme="1"/>
      <name val="Calibri"/>
      <family val="2"/>
      <scheme val="minor"/>
    </font>
    <font>
      <b/>
      <sz val="8"/>
      <color rgb="FF000000"/>
      <name val="Calibri"/>
      <family val="2"/>
      <scheme val="minor"/>
    </font>
    <font>
      <sz val="10"/>
      <name val="Arial"/>
      <family val="2"/>
    </font>
    <font>
      <sz val="9"/>
      <name val="Calibri"/>
      <family val="2"/>
      <scheme val="minor"/>
    </font>
    <font>
      <b/>
      <sz val="9"/>
      <name val="Calibri"/>
      <family val="2"/>
      <scheme val="minor"/>
    </font>
    <font>
      <vertAlign val="superscript"/>
      <sz val="9"/>
      <color theme="1"/>
      <name val="Calibri"/>
      <family val="2"/>
      <scheme val="minor"/>
    </font>
    <font>
      <sz val="9"/>
      <color theme="1"/>
      <name val="Calibri"/>
      <family val="2"/>
      <scheme val="minor"/>
    </font>
    <font>
      <vertAlign val="superscript"/>
      <sz val="12"/>
      <color theme="1"/>
      <name val="Calibri (Body)"/>
    </font>
    <font>
      <vertAlign val="superscript"/>
      <sz val="12"/>
      <color theme="1"/>
      <name val="Calibri"/>
      <family val="2"/>
      <scheme val="minor"/>
    </font>
    <font>
      <b/>
      <vertAlign val="superscript"/>
      <sz val="12"/>
      <color rgb="FF000000"/>
      <name val="Calibri"/>
      <family val="2"/>
      <scheme val="minor"/>
    </font>
    <font>
      <b/>
      <vertAlign val="superscript"/>
      <sz val="12"/>
      <name val="Calibri"/>
      <family val="2"/>
      <scheme val="minor"/>
    </font>
    <font>
      <b/>
      <vertAlign val="superscript"/>
      <sz val="12"/>
      <color theme="1"/>
      <name val="Calibri"/>
      <family val="2"/>
      <scheme val="minor"/>
    </font>
    <font>
      <b/>
      <sz val="12"/>
      <color rgb="FF000000"/>
      <name val="Calibri"/>
      <family val="2"/>
    </font>
    <font>
      <i/>
      <sz val="11"/>
      <color rgb="FF444444"/>
      <name val="Calibri"/>
      <family val="2"/>
      <charset val="1"/>
    </font>
    <font>
      <b/>
      <sz val="11"/>
      <color rgb="FF444444"/>
      <name val="Calibri"/>
      <family val="2"/>
      <charset val="1"/>
    </font>
    <font>
      <b/>
      <sz val="12"/>
      <color rgb="FF000000"/>
      <name val="Calibri"/>
    </font>
    <font>
      <vertAlign val="superscript"/>
      <sz val="9"/>
      <color rgb="FF000000"/>
      <name val="Calibri"/>
    </font>
    <font>
      <sz val="9"/>
      <color rgb="FF000000"/>
      <name val="Calibri"/>
    </font>
    <font>
      <sz val="11"/>
      <color rgb="FF444444"/>
      <name val="Calibri"/>
      <family val="2"/>
      <charset val="1"/>
    </font>
    <font>
      <b/>
      <sz val="12"/>
      <color rgb="FF595959"/>
      <name val="Calibri"/>
      <family val="2"/>
      <scheme val="minor"/>
    </font>
    <font>
      <sz val="12"/>
      <color rgb="FF000000"/>
      <name val="Calibri"/>
      <family val="2"/>
      <charset val="1"/>
    </font>
    <font>
      <sz val="12"/>
      <color rgb="FF000000"/>
      <name val="Calibri"/>
    </font>
    <font>
      <sz val="11"/>
      <color rgb="FF000000"/>
      <name val="Calibri"/>
      <family val="2"/>
      <charset val="1"/>
    </font>
    <font>
      <vertAlign val="superscript"/>
      <sz val="12"/>
      <color rgb="FF000000"/>
      <name val="Calibri"/>
    </font>
    <font>
      <sz val="9"/>
      <color rgb="FF000000"/>
      <name val="Calibri"/>
      <family val="2"/>
    </font>
    <font>
      <vertAlign val="superscript"/>
      <sz val="9"/>
      <color rgb="FF000000"/>
      <name val="Calibri"/>
      <family val="2"/>
    </font>
    <font>
      <sz val="12"/>
      <color rgb="FF000000"/>
      <name val="Calibri"/>
      <family val="2"/>
    </font>
    <font>
      <b/>
      <vertAlign val="superscript"/>
      <sz val="8"/>
      <color rgb="FF000000"/>
      <name val="Calibri"/>
      <family val="2"/>
    </font>
    <font>
      <vertAlign val="superscript"/>
      <sz val="12"/>
      <color rgb="FF000000"/>
      <name val="Calibri"/>
      <family val="2"/>
    </font>
    <font>
      <sz val="12"/>
      <color rgb="FF000000"/>
      <name val="Calibri"/>
      <family val="2"/>
      <scheme val="minor"/>
    </font>
    <font>
      <vertAlign val="superscript"/>
      <sz val="8"/>
      <color rgb="FF000000"/>
      <name val="Calibri"/>
      <family val="2"/>
    </font>
    <font>
      <b/>
      <vertAlign val="superscript"/>
      <sz val="9"/>
      <color theme="1"/>
      <name val="Calibri"/>
      <family val="2"/>
      <scheme val="minor"/>
    </font>
    <font>
      <vertAlign val="superscript"/>
      <sz val="12"/>
      <color rgb="FF000000"/>
      <name val="Calibri"/>
      <family val="2"/>
      <scheme val="minor"/>
    </font>
    <font>
      <b/>
      <vertAlign val="superscript"/>
      <sz val="12"/>
      <color rgb="FF000000"/>
      <name val="Calibri"/>
    </font>
  </fonts>
  <fills count="12">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E7E6E6"/>
        <bgColor indexed="64"/>
      </patternFill>
    </fill>
    <fill>
      <patternFill patternType="solid">
        <fgColor rgb="FFD6DCE4"/>
        <bgColor indexed="64"/>
      </patternFill>
    </fill>
    <fill>
      <patternFill patternType="solid">
        <fgColor theme="3" tint="0.79998168889431442"/>
        <bgColor indexed="64"/>
      </patternFill>
    </fill>
    <fill>
      <patternFill patternType="solid">
        <fgColor rgb="FFD9E1F2"/>
        <bgColor indexed="64"/>
      </patternFill>
    </fill>
  </fills>
  <borders count="46">
    <border>
      <left/>
      <right/>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ck">
        <color auto="1"/>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right style="thin">
        <color rgb="FF000000"/>
      </right>
      <top/>
      <bottom style="double">
        <color indexed="64"/>
      </bottom>
      <diagonal/>
    </border>
    <border>
      <left style="thin">
        <color rgb="FF000000"/>
      </left>
      <right/>
      <top/>
      <bottom/>
      <diagonal/>
    </border>
    <border>
      <left/>
      <right/>
      <top style="thin">
        <color rgb="FF000000"/>
      </top>
      <bottom/>
      <diagonal/>
    </border>
    <border>
      <left/>
      <right/>
      <top/>
      <bottom style="double">
        <color rgb="FF000000"/>
      </bottom>
      <diagonal/>
    </border>
    <border>
      <left/>
      <right style="thin">
        <color indexed="64"/>
      </right>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style="thin">
        <color auto="1"/>
      </right>
      <top/>
      <bottom style="double">
        <color indexed="64"/>
      </bottom>
      <diagonal/>
    </border>
    <border>
      <left/>
      <right/>
      <top style="double">
        <color indexed="64"/>
      </top>
      <bottom style="thin">
        <color indexed="64"/>
      </bottom>
      <diagonal/>
    </border>
    <border>
      <left style="thin">
        <color rgb="FF000000"/>
      </left>
      <right style="thin">
        <color rgb="FF000000"/>
      </right>
      <top/>
      <bottom/>
      <diagonal/>
    </border>
  </borders>
  <cellStyleXfs count="14">
    <xf numFmtId="0" fontId="0" fillId="0" borderId="0"/>
    <xf numFmtId="44" fontId="3"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6" fillId="0" borderId="0"/>
    <xf numFmtId="44" fontId="26" fillId="0" borderId="0" applyFont="0" applyFill="0" applyBorder="0" applyAlignment="0" applyProtection="0"/>
  </cellStyleXfs>
  <cellXfs count="337">
    <xf numFmtId="0" fontId="0" fillId="0" borderId="0" xfId="0"/>
    <xf numFmtId="0" fontId="4" fillId="0" borderId="0" xfId="0" applyFont="1"/>
    <xf numFmtId="0" fontId="0" fillId="0" borderId="0" xfId="0" applyAlignment="1">
      <alignment wrapText="1"/>
    </xf>
    <xf numFmtId="0" fontId="5" fillId="0" borderId="0" xfId="0" applyFont="1" applyAlignment="1">
      <alignment horizontal="left" wrapText="1"/>
    </xf>
    <xf numFmtId="6" fontId="4" fillId="0" borderId="0" xfId="0" applyNumberFormat="1" applyFont="1"/>
    <xf numFmtId="165" fontId="0" fillId="0" borderId="0" xfId="0" applyNumberFormat="1"/>
    <xf numFmtId="165" fontId="4" fillId="0" borderId="0" xfId="0" applyNumberFormat="1" applyFont="1" applyAlignment="1">
      <alignment wrapText="1"/>
    </xf>
    <xf numFmtId="165" fontId="4" fillId="0" borderId="0" xfId="0" applyNumberFormat="1" applyFont="1"/>
    <xf numFmtId="164" fontId="0" fillId="0" borderId="0" xfId="0" applyNumberFormat="1" applyAlignment="1">
      <alignment horizontal="left"/>
    </xf>
    <xf numFmtId="0" fontId="4" fillId="0" borderId="0" xfId="0" applyFont="1" applyAlignment="1">
      <alignment horizontal="center" wrapText="1"/>
    </xf>
    <xf numFmtId="0" fontId="4" fillId="0" borderId="0" xfId="0" applyFont="1" applyAlignment="1">
      <alignment horizontal="left"/>
    </xf>
    <xf numFmtId="0" fontId="0" fillId="0" borderId="0" xfId="0" applyAlignment="1">
      <alignment horizontal="left"/>
    </xf>
    <xf numFmtId="6" fontId="0" fillId="0" borderId="0" xfId="0" applyNumberFormat="1"/>
    <xf numFmtId="6" fontId="6" fillId="0" borderId="0" xfId="0" applyNumberFormat="1" applyFont="1" applyAlignment="1">
      <alignment horizontal="right"/>
    </xf>
    <xf numFmtId="165" fontId="7" fillId="0" borderId="0" xfId="0" applyNumberFormat="1" applyFont="1" applyAlignment="1">
      <alignment horizontal="left"/>
    </xf>
    <xf numFmtId="166" fontId="7" fillId="0" borderId="0" xfId="0" applyNumberFormat="1" applyFont="1" applyAlignment="1">
      <alignment horizontal="left"/>
    </xf>
    <xf numFmtId="0" fontId="7" fillId="0" borderId="0" xfId="0" applyFont="1" applyAlignment="1">
      <alignment horizontal="left" wrapText="1" indent="2"/>
    </xf>
    <xf numFmtId="167" fontId="0" fillId="0" borderId="0" xfId="1" applyNumberFormat="1" applyFont="1"/>
    <xf numFmtId="167" fontId="0" fillId="0" borderId="0" xfId="0" applyNumberFormat="1"/>
    <xf numFmtId="0" fontId="4" fillId="0" borderId="0" xfId="0" applyFont="1" applyAlignment="1">
      <alignment wrapText="1"/>
    </xf>
    <xf numFmtId="0" fontId="4" fillId="0" borderId="0" xfId="0" applyFont="1" applyAlignment="1">
      <alignment horizontal="right" wrapText="1"/>
    </xf>
    <xf numFmtId="6" fontId="4" fillId="0" borderId="0" xfId="0" applyNumberFormat="1" applyFont="1" applyAlignment="1">
      <alignment horizontal="left"/>
    </xf>
    <xf numFmtId="164" fontId="4" fillId="0" borderId="0" xfId="0" applyNumberFormat="1" applyFont="1"/>
    <xf numFmtId="0" fontId="8" fillId="0" borderId="0" xfId="0" applyFont="1" applyAlignment="1">
      <alignment wrapText="1"/>
    </xf>
    <xf numFmtId="6" fontId="9" fillId="0" borderId="0" xfId="0" applyNumberFormat="1" applyFont="1" applyAlignment="1">
      <alignment horizontal="left" wrapText="1"/>
    </xf>
    <xf numFmtId="165" fontId="10" fillId="0" borderId="0" xfId="0" applyNumberFormat="1" applyFont="1" applyAlignment="1">
      <alignment horizontal="left" wrapText="1"/>
    </xf>
    <xf numFmtId="0" fontId="14" fillId="0" borderId="0" xfId="0" applyFont="1" applyAlignment="1">
      <alignment wrapText="1"/>
    </xf>
    <xf numFmtId="167" fontId="0" fillId="0" borderId="1" xfId="1" applyNumberFormat="1" applyFont="1" applyBorder="1"/>
    <xf numFmtId="167" fontId="0" fillId="0" borderId="0" xfId="1" applyNumberFormat="1" applyFont="1" applyBorder="1"/>
    <xf numFmtId="0" fontId="0" fillId="0" borderId="2" xfId="0" applyBorder="1"/>
    <xf numFmtId="164" fontId="4" fillId="0" borderId="0" xfId="0" applyNumberFormat="1" applyFont="1" applyAlignment="1">
      <alignment wrapText="1"/>
    </xf>
    <xf numFmtId="0" fontId="11" fillId="0" borderId="0" xfId="0" applyFont="1" applyAlignment="1">
      <alignment horizontal="left"/>
    </xf>
    <xf numFmtId="164" fontId="11" fillId="0" borderId="0" xfId="0" applyNumberFormat="1" applyFont="1" applyAlignment="1">
      <alignment horizontal="left"/>
    </xf>
    <xf numFmtId="165" fontId="8" fillId="0" borderId="0" xfId="0" applyNumberFormat="1" applyFont="1"/>
    <xf numFmtId="0" fontId="8" fillId="0" borderId="0" xfId="0" applyFont="1"/>
    <xf numFmtId="164" fontId="15" fillId="0" borderId="0" xfId="0" applyNumberFormat="1" applyFont="1" applyAlignment="1">
      <alignment horizontal="left"/>
    </xf>
    <xf numFmtId="165" fontId="9" fillId="0" borderId="0" xfId="0" applyNumberFormat="1" applyFont="1"/>
    <xf numFmtId="165" fontId="8" fillId="0" borderId="0" xfId="0" applyNumberFormat="1" applyFont="1" applyAlignment="1">
      <alignment wrapText="1"/>
    </xf>
    <xf numFmtId="0" fontId="0" fillId="0" borderId="9" xfId="0" applyBorder="1"/>
    <xf numFmtId="0" fontId="4" fillId="0" borderId="9" xfId="0" applyFont="1" applyBorder="1" applyAlignment="1">
      <alignment wrapText="1"/>
    </xf>
    <xf numFmtId="0" fontId="7" fillId="0" borderId="9" xfId="0" applyFont="1" applyBorder="1" applyAlignment="1">
      <alignment horizontal="left" wrapText="1" indent="2"/>
    </xf>
    <xf numFmtId="165" fontId="0" fillId="0" borderId="9" xfId="0" applyNumberFormat="1" applyBorder="1"/>
    <xf numFmtId="0" fontId="4" fillId="0" borderId="1" xfId="0" applyFont="1" applyBorder="1" applyAlignment="1">
      <alignment wrapText="1"/>
    </xf>
    <xf numFmtId="0" fontId="14" fillId="0" borderId="1" xfId="0" applyFont="1" applyBorder="1" applyAlignment="1">
      <alignment wrapText="1"/>
    </xf>
    <xf numFmtId="167" fontId="6" fillId="0" borderId="0" xfId="1" applyNumberFormat="1" applyFont="1" applyBorder="1"/>
    <xf numFmtId="167" fontId="0" fillId="0" borderId="1" xfId="1" applyNumberFormat="1" applyFont="1" applyFill="1" applyBorder="1"/>
    <xf numFmtId="167" fontId="0" fillId="0" borderId="2" xfId="1" applyNumberFormat="1" applyFont="1" applyFill="1" applyBorder="1"/>
    <xf numFmtId="167" fontId="0" fillId="0" borderId="0" xfId="1" applyNumberFormat="1" applyFont="1" applyFill="1" applyBorder="1"/>
    <xf numFmtId="0" fontId="4" fillId="2" borderId="1" xfId="0" applyFont="1" applyFill="1" applyBorder="1"/>
    <xf numFmtId="0" fontId="14" fillId="2" borderId="0" xfId="0" applyFont="1" applyFill="1" applyAlignment="1">
      <alignment wrapText="1"/>
    </xf>
    <xf numFmtId="0" fontId="0" fillId="0" borderId="7" xfId="0" applyBorder="1" applyAlignment="1">
      <alignment wrapText="1"/>
    </xf>
    <xf numFmtId="164" fontId="4" fillId="0" borderId="0" xfId="0" applyNumberFormat="1" applyFont="1" applyAlignment="1">
      <alignment horizontal="left"/>
    </xf>
    <xf numFmtId="168" fontId="0" fillId="0" borderId="0" xfId="10" applyNumberFormat="1" applyFont="1" applyAlignment="1">
      <alignment vertical="center"/>
    </xf>
    <xf numFmtId="0" fontId="0" fillId="0" borderId="0" xfId="0" applyAlignment="1">
      <alignment horizontal="left" vertical="center" wrapText="1"/>
    </xf>
    <xf numFmtId="0" fontId="4" fillId="0" borderId="0" xfId="0" applyFont="1" applyAlignment="1">
      <alignment horizontal="right"/>
    </xf>
    <xf numFmtId="0" fontId="17" fillId="0" borderId="0" xfId="0" applyFont="1"/>
    <xf numFmtId="0" fontId="18" fillId="0" borderId="0" xfId="0" applyFont="1"/>
    <xf numFmtId="0" fontId="17" fillId="0" borderId="0" xfId="0" applyFont="1" applyAlignment="1">
      <alignment horizontal="left"/>
    </xf>
    <xf numFmtId="9" fontId="17" fillId="0" borderId="0" xfId="0" applyNumberFormat="1" applyFont="1" applyAlignment="1">
      <alignment horizontal="left"/>
    </xf>
    <xf numFmtId="0" fontId="19" fillId="0" borderId="0" xfId="0" applyFont="1"/>
    <xf numFmtId="0" fontId="20" fillId="0" borderId="0" xfId="0" applyFont="1"/>
    <xf numFmtId="0" fontId="18" fillId="0" borderId="0" xfId="0" applyFont="1" applyAlignment="1">
      <alignment horizontal="left"/>
    </xf>
    <xf numFmtId="9" fontId="17" fillId="0" borderId="0" xfId="11" applyFont="1" applyAlignment="1">
      <alignment horizontal="left"/>
    </xf>
    <xf numFmtId="9" fontId="8" fillId="0" borderId="0" xfId="11" applyFont="1" applyFill="1" applyBorder="1" applyAlignment="1">
      <alignment wrapText="1"/>
    </xf>
    <xf numFmtId="9" fontId="18" fillId="0" borderId="0" xfId="11" applyFont="1" applyAlignment="1">
      <alignment horizontal="left"/>
    </xf>
    <xf numFmtId="0" fontId="21" fillId="0" borderId="0" xfId="0" applyFont="1"/>
    <xf numFmtId="9" fontId="0" fillId="0" borderId="0" xfId="11" applyFont="1"/>
    <xf numFmtId="0" fontId="22" fillId="0" borderId="0" xfId="0" applyFont="1"/>
    <xf numFmtId="0" fontId="23" fillId="0" borderId="0" xfId="0" applyFont="1" applyAlignment="1">
      <alignment vertical="center"/>
    </xf>
    <xf numFmtId="6" fontId="4" fillId="0" borderId="0" xfId="0" applyNumberFormat="1" applyFont="1" applyAlignment="1">
      <alignment horizontal="right"/>
    </xf>
    <xf numFmtId="3" fontId="25" fillId="0" borderId="0" xfId="0" applyNumberFormat="1" applyFont="1" applyAlignment="1">
      <alignment horizontal="right" vertical="center" wrapText="1"/>
    </xf>
    <xf numFmtId="0" fontId="24" fillId="0" borderId="0" xfId="0" applyFont="1" applyAlignment="1">
      <alignment horizontal="right" vertical="center" wrapText="1"/>
    </xf>
    <xf numFmtId="3" fontId="24" fillId="0" borderId="0" xfId="0" applyNumberFormat="1" applyFont="1" applyAlignment="1">
      <alignment horizontal="right" vertical="center" wrapText="1"/>
    </xf>
    <xf numFmtId="165" fontId="4" fillId="0" borderId="0" xfId="0" applyNumberFormat="1" applyFont="1" applyAlignment="1">
      <alignment horizontal="right"/>
    </xf>
    <xf numFmtId="167" fontId="0" fillId="3" borderId="0" xfId="1" applyNumberFormat="1" applyFont="1" applyFill="1" applyBorder="1"/>
    <xf numFmtId="0" fontId="27" fillId="0" borderId="0" xfId="12" applyFont="1"/>
    <xf numFmtId="0" fontId="28" fillId="0" borderId="0" xfId="12" applyFont="1"/>
    <xf numFmtId="0" fontId="5" fillId="0" borderId="0" xfId="12" applyFont="1"/>
    <xf numFmtId="0" fontId="6" fillId="0" borderId="0" xfId="12" applyFont="1"/>
    <xf numFmtId="0" fontId="6" fillId="0" borderId="10" xfId="12" applyFont="1" applyBorder="1"/>
    <xf numFmtId="0" fontId="5" fillId="4" borderId="10" xfId="12" applyFont="1" applyFill="1" applyBorder="1" applyAlignment="1" applyProtection="1">
      <alignment horizontal="center" wrapText="1" readingOrder="1"/>
      <protection locked="0"/>
    </xf>
    <xf numFmtId="167" fontId="6" fillId="4" borderId="10" xfId="13" applyNumberFormat="1" applyFont="1" applyFill="1" applyBorder="1"/>
    <xf numFmtId="167" fontId="5" fillId="4" borderId="10" xfId="13" applyNumberFormat="1" applyFont="1" applyFill="1" applyBorder="1"/>
    <xf numFmtId="0" fontId="14" fillId="0" borderId="0" xfId="0" applyFont="1" applyAlignment="1">
      <alignment horizontal="center"/>
    </xf>
    <xf numFmtId="167" fontId="6" fillId="4" borderId="11" xfId="13" applyNumberFormat="1" applyFont="1" applyFill="1" applyBorder="1"/>
    <xf numFmtId="167" fontId="5" fillId="4" borderId="11" xfId="13" applyNumberFormat="1" applyFont="1" applyFill="1" applyBorder="1"/>
    <xf numFmtId="167" fontId="3" fillId="0" borderId="12" xfId="13" applyNumberFormat="1" applyFont="1" applyFill="1" applyBorder="1"/>
    <xf numFmtId="0" fontId="5" fillId="4" borderId="16" xfId="12" applyFont="1" applyFill="1" applyBorder="1" applyAlignment="1" applyProtection="1">
      <alignment horizontal="center" wrapText="1" readingOrder="1"/>
      <protection locked="0"/>
    </xf>
    <xf numFmtId="167" fontId="6" fillId="4" borderId="16" xfId="13" applyNumberFormat="1" applyFont="1" applyFill="1" applyBorder="1"/>
    <xf numFmtId="167" fontId="5" fillId="4" borderId="18" xfId="13" applyNumberFormat="1" applyFont="1" applyFill="1" applyBorder="1"/>
    <xf numFmtId="167" fontId="5" fillId="4" borderId="19" xfId="13" applyNumberFormat="1" applyFont="1" applyFill="1" applyBorder="1"/>
    <xf numFmtId="0" fontId="5" fillId="5" borderId="17" xfId="12" applyFont="1" applyFill="1" applyBorder="1" applyAlignment="1" applyProtection="1">
      <alignment horizontal="center" wrapText="1" readingOrder="1"/>
      <protection locked="0"/>
    </xf>
    <xf numFmtId="167" fontId="6" fillId="5" borderId="17" xfId="13" applyNumberFormat="1" applyFont="1" applyFill="1" applyBorder="1"/>
    <xf numFmtId="167" fontId="5" fillId="5" borderId="20" xfId="13" applyNumberFormat="1" applyFont="1" applyFill="1" applyBorder="1"/>
    <xf numFmtId="0" fontId="0" fillId="0" borderId="0" xfId="0" applyAlignment="1">
      <alignment horizontal="left" indent="1"/>
    </xf>
    <xf numFmtId="0" fontId="0" fillId="0" borderId="28" xfId="0" applyBorder="1" applyAlignment="1">
      <alignment horizontal="left" indent="1"/>
    </xf>
    <xf numFmtId="167" fontId="0" fillId="0" borderId="28" xfId="1" applyNumberFormat="1" applyFont="1" applyBorder="1"/>
    <xf numFmtId="167" fontId="0" fillId="0" borderId="30" xfId="1" applyNumberFormat="1" applyFont="1" applyBorder="1"/>
    <xf numFmtId="167" fontId="4" fillId="0" borderId="5" xfId="0" applyNumberFormat="1" applyFont="1" applyBorder="1"/>
    <xf numFmtId="0" fontId="8" fillId="2" borderId="0" xfId="0" applyFont="1" applyFill="1"/>
    <xf numFmtId="167" fontId="0" fillId="2" borderId="0" xfId="1" applyNumberFormat="1" applyFont="1" applyFill="1" applyBorder="1"/>
    <xf numFmtId="167" fontId="4" fillId="0" borderId="4" xfId="0" applyNumberFormat="1" applyFont="1" applyBorder="1"/>
    <xf numFmtId="167" fontId="4" fillId="0" borderId="3" xfId="0" applyNumberFormat="1" applyFont="1" applyBorder="1"/>
    <xf numFmtId="167" fontId="0" fillId="2" borderId="2" xfId="1" applyNumberFormat="1" applyFont="1" applyFill="1" applyBorder="1"/>
    <xf numFmtId="0" fontId="14" fillId="0" borderId="0" xfId="0" applyFont="1"/>
    <xf numFmtId="167" fontId="0" fillId="0" borderId="29" xfId="1" applyNumberFormat="1" applyFont="1" applyBorder="1"/>
    <xf numFmtId="167" fontId="0" fillId="2" borderId="1" xfId="0" applyNumberFormat="1" applyFill="1" applyBorder="1"/>
    <xf numFmtId="167" fontId="0" fillId="2" borderId="0" xfId="0" applyNumberFormat="1" applyFill="1"/>
    <xf numFmtId="167" fontId="4" fillId="2" borderId="5" xfId="0" applyNumberFormat="1" applyFont="1" applyFill="1" applyBorder="1"/>
    <xf numFmtId="167" fontId="4" fillId="2" borderId="4" xfId="0" applyNumberFormat="1" applyFont="1" applyFill="1" applyBorder="1"/>
    <xf numFmtId="167" fontId="3" fillId="0" borderId="2" xfId="1" applyNumberFormat="1" applyFont="1" applyBorder="1"/>
    <xf numFmtId="167" fontId="3" fillId="0" borderId="2" xfId="1" applyNumberFormat="1" applyFont="1" applyFill="1" applyBorder="1"/>
    <xf numFmtId="167" fontId="3" fillId="0" borderId="0" xfId="1" applyNumberFormat="1" applyFont="1" applyBorder="1"/>
    <xf numFmtId="44" fontId="0" fillId="0" borderId="0" xfId="1" applyFont="1" applyBorder="1"/>
    <xf numFmtId="44" fontId="0" fillId="0" borderId="28" xfId="1" applyFont="1" applyBorder="1"/>
    <xf numFmtId="167" fontId="4" fillId="0" borderId="0" xfId="1" applyNumberFormat="1" applyFont="1" applyBorder="1"/>
    <xf numFmtId="167" fontId="3" fillId="0" borderId="1" xfId="1" applyNumberFormat="1" applyFont="1" applyBorder="1"/>
    <xf numFmtId="167" fontId="3" fillId="0" borderId="0" xfId="1" applyNumberFormat="1" applyFont="1" applyFill="1" applyBorder="1" applyAlignment="1">
      <alignment horizontal="right"/>
    </xf>
    <xf numFmtId="167" fontId="3" fillId="0" borderId="1" xfId="1" applyNumberFormat="1" applyFont="1" applyFill="1" applyBorder="1"/>
    <xf numFmtId="167" fontId="3" fillId="0" borderId="0" xfId="1" applyNumberFormat="1" applyFont="1" applyFill="1" applyBorder="1"/>
    <xf numFmtId="167" fontId="3" fillId="0" borderId="0" xfId="1" applyNumberFormat="1" applyFont="1" applyBorder="1" applyAlignment="1">
      <alignment horizontal="right"/>
    </xf>
    <xf numFmtId="167" fontId="3" fillId="2" borderId="2" xfId="1" applyNumberFormat="1" applyFont="1" applyFill="1" applyBorder="1"/>
    <xf numFmtId="44" fontId="3" fillId="0" borderId="0" xfId="1" applyFont="1" applyBorder="1"/>
    <xf numFmtId="167" fontId="3" fillId="0" borderId="30" xfId="1" applyNumberFormat="1" applyFont="1" applyBorder="1"/>
    <xf numFmtId="167" fontId="3" fillId="0" borderId="28" xfId="1" applyNumberFormat="1" applyFont="1" applyBorder="1"/>
    <xf numFmtId="44" fontId="0" fillId="2" borderId="1" xfId="1" applyFont="1" applyFill="1" applyBorder="1" applyAlignment="1">
      <alignment wrapText="1"/>
    </xf>
    <xf numFmtId="44" fontId="0" fillId="2" borderId="0" xfId="1" applyFont="1" applyFill="1" applyBorder="1"/>
    <xf numFmtId="44" fontId="3" fillId="0" borderId="1" xfId="1" applyFont="1" applyBorder="1"/>
    <xf numFmtId="44" fontId="0" fillId="2" borderId="1" xfId="1" applyFont="1" applyFill="1" applyBorder="1"/>
    <xf numFmtId="167" fontId="3" fillId="0" borderId="30" xfId="1" applyNumberFormat="1" applyFont="1" applyFill="1" applyBorder="1"/>
    <xf numFmtId="44" fontId="4" fillId="0" borderId="1" xfId="1" applyFont="1" applyBorder="1" applyAlignment="1">
      <alignment wrapText="1"/>
    </xf>
    <xf numFmtId="44" fontId="4" fillId="0" borderId="0" xfId="1" applyFont="1" applyBorder="1" applyAlignment="1">
      <alignment wrapText="1"/>
    </xf>
    <xf numFmtId="44" fontId="4" fillId="0" borderId="2" xfId="1" applyFont="1" applyBorder="1" applyAlignment="1">
      <alignment wrapText="1"/>
    </xf>
    <xf numFmtId="44" fontId="4" fillId="0" borderId="8" xfId="1" applyFont="1" applyBorder="1" applyAlignment="1">
      <alignment wrapText="1"/>
    </xf>
    <xf numFmtId="44" fontId="4" fillId="0" borderId="7" xfId="1" applyFont="1" applyBorder="1" applyAlignment="1">
      <alignment wrapText="1"/>
    </xf>
    <xf numFmtId="44" fontId="4" fillId="0" borderId="6" xfId="1" applyFont="1" applyBorder="1" applyAlignment="1">
      <alignment wrapText="1"/>
    </xf>
    <xf numFmtId="44" fontId="4" fillId="2" borderId="1" xfId="1" applyFont="1" applyFill="1" applyBorder="1" applyAlignment="1">
      <alignment wrapText="1"/>
    </xf>
    <xf numFmtId="44" fontId="4" fillId="2" borderId="0" xfId="1" applyFont="1" applyFill="1" applyBorder="1" applyAlignment="1">
      <alignment wrapText="1"/>
    </xf>
    <xf numFmtId="44" fontId="4" fillId="2" borderId="0" xfId="1" applyFont="1" applyFill="1" applyBorder="1"/>
    <xf numFmtId="167" fontId="0" fillId="6" borderId="0" xfId="1" applyNumberFormat="1" applyFont="1" applyFill="1" applyBorder="1"/>
    <xf numFmtId="167" fontId="0" fillId="2" borderId="28" xfId="1" applyNumberFormat="1" applyFont="1" applyFill="1" applyBorder="1"/>
    <xf numFmtId="167" fontId="0" fillId="0" borderId="28" xfId="1" applyNumberFormat="1" applyFont="1" applyFill="1" applyBorder="1"/>
    <xf numFmtId="167" fontId="0" fillId="2" borderId="1" xfId="1" applyNumberFormat="1" applyFont="1" applyFill="1" applyBorder="1"/>
    <xf numFmtId="167" fontId="0" fillId="6" borderId="1" xfId="1" applyNumberFormat="1" applyFont="1" applyFill="1" applyBorder="1"/>
    <xf numFmtId="167" fontId="0" fillId="2" borderId="29" xfId="1" applyNumberFormat="1" applyFont="1" applyFill="1" applyBorder="1"/>
    <xf numFmtId="0" fontId="0" fillId="0" borderId="28" xfId="0" applyBorder="1" applyAlignment="1">
      <alignment wrapText="1"/>
    </xf>
    <xf numFmtId="167" fontId="0" fillId="2" borderId="29" xfId="0" applyNumberFormat="1" applyFill="1" applyBorder="1"/>
    <xf numFmtId="167" fontId="0" fillId="2" borderId="28" xfId="0" applyNumberFormat="1" applyFill="1" applyBorder="1"/>
    <xf numFmtId="167" fontId="0" fillId="0" borderId="8" xfId="1" applyNumberFormat="1" applyFont="1" applyBorder="1"/>
    <xf numFmtId="0" fontId="0" fillId="0" borderId="7" xfId="0" applyBorder="1"/>
    <xf numFmtId="168" fontId="3" fillId="0" borderId="0" xfId="10" applyNumberFormat="1" applyFont="1" applyAlignment="1">
      <alignment horizontal="left" vertical="center"/>
    </xf>
    <xf numFmtId="167" fontId="0" fillId="2" borderId="8" xfId="1" applyNumberFormat="1" applyFont="1" applyFill="1" applyBorder="1"/>
    <xf numFmtId="167" fontId="4" fillId="2" borderId="0" xfId="1" applyNumberFormat="1" applyFont="1" applyFill="1" applyBorder="1"/>
    <xf numFmtId="167" fontId="27" fillId="0" borderId="0" xfId="12" applyNumberFormat="1" applyFont="1"/>
    <xf numFmtId="164" fontId="7" fillId="0" borderId="0" xfId="0" applyNumberFormat="1" applyFont="1" applyAlignment="1">
      <alignment horizontal="left"/>
    </xf>
    <xf numFmtId="0" fontId="5" fillId="0" borderId="0" xfId="0" applyFont="1" applyAlignment="1">
      <alignment horizontal="left" wrapText="1" indent="2"/>
    </xf>
    <xf numFmtId="10" fontId="8" fillId="0" borderId="0" xfId="0" applyNumberFormat="1" applyFont="1" applyAlignment="1">
      <alignment horizontal="right" wrapText="1"/>
    </xf>
    <xf numFmtId="165" fontId="0" fillId="0" borderId="0" xfId="0" applyNumberFormat="1" applyAlignment="1">
      <alignment horizontal="left"/>
    </xf>
    <xf numFmtId="0" fontId="36" fillId="0" borderId="0" xfId="0" applyFont="1"/>
    <xf numFmtId="169" fontId="8" fillId="0" borderId="0" xfId="0" applyNumberFormat="1" applyFont="1" applyAlignment="1">
      <alignment wrapText="1"/>
    </xf>
    <xf numFmtId="165" fontId="37" fillId="0" borderId="0" xfId="0" quotePrefix="1" applyNumberFormat="1" applyFont="1"/>
    <xf numFmtId="0" fontId="25" fillId="0" borderId="0" xfId="0" applyFont="1" applyAlignment="1">
      <alignment horizontal="right" vertical="center" wrapText="1"/>
    </xf>
    <xf numFmtId="9" fontId="37" fillId="0" borderId="0" xfId="0" quotePrefix="1" applyNumberFormat="1" applyFont="1"/>
    <xf numFmtId="0" fontId="36" fillId="0" borderId="0" xfId="0" applyFont="1" applyAlignment="1">
      <alignment horizontal="right"/>
    </xf>
    <xf numFmtId="0" fontId="39" fillId="0" borderId="0" xfId="0" applyFont="1"/>
    <xf numFmtId="165" fontId="0" fillId="0" borderId="0" xfId="0" applyNumberFormat="1" applyAlignment="1">
      <alignment horizontal="right"/>
    </xf>
    <xf numFmtId="0" fontId="4" fillId="0" borderId="0" xfId="0" applyFont="1" applyAlignment="1">
      <alignment horizontal="center"/>
    </xf>
    <xf numFmtId="165" fontId="0" fillId="0" borderId="0" xfId="1" applyNumberFormat="1" applyFont="1" applyBorder="1"/>
    <xf numFmtId="167" fontId="42" fillId="8" borderId="0" xfId="0" quotePrefix="1" applyNumberFormat="1" applyFont="1" applyFill="1"/>
    <xf numFmtId="44" fontId="3" fillId="0" borderId="0" xfId="1" applyFont="1" applyFill="1" applyBorder="1"/>
    <xf numFmtId="44" fontId="3" fillId="2" borderId="0" xfId="1" applyFont="1" applyFill="1" applyBorder="1"/>
    <xf numFmtId="44" fontId="3" fillId="0" borderId="28" xfId="1" applyFont="1" applyBorder="1"/>
    <xf numFmtId="167" fontId="3" fillId="2" borderId="0" xfId="1" applyNumberFormat="1" applyFont="1" applyFill="1" applyBorder="1"/>
    <xf numFmtId="167" fontId="3" fillId="0" borderId="28" xfId="1" applyNumberFormat="1" applyFont="1" applyFill="1" applyBorder="1"/>
    <xf numFmtId="44" fontId="4" fillId="0" borderId="34" xfId="1" applyFont="1" applyBorder="1" applyAlignment="1">
      <alignment wrapText="1"/>
    </xf>
    <xf numFmtId="167" fontId="3" fillId="0" borderId="34" xfId="1" applyNumberFormat="1" applyFont="1" applyBorder="1"/>
    <xf numFmtId="167" fontId="3" fillId="0" borderId="34" xfId="1" applyNumberFormat="1" applyFont="1" applyFill="1" applyBorder="1"/>
    <xf numFmtId="167" fontId="0" fillId="2" borderId="34" xfId="1" applyNumberFormat="1" applyFont="1" applyFill="1" applyBorder="1"/>
    <xf numFmtId="167" fontId="3" fillId="0" borderId="35" xfId="1" applyNumberFormat="1" applyFont="1" applyBorder="1"/>
    <xf numFmtId="0" fontId="14" fillId="0" borderId="32" xfId="0" applyFont="1" applyBorder="1" applyAlignment="1">
      <alignment horizontal="center"/>
    </xf>
    <xf numFmtId="0" fontId="0" fillId="8" borderId="0" xfId="0" applyFill="1"/>
    <xf numFmtId="165" fontId="43" fillId="0" borderId="0" xfId="0" applyNumberFormat="1" applyFont="1" applyAlignment="1">
      <alignment horizontal="left"/>
    </xf>
    <xf numFmtId="170" fontId="7" fillId="0" borderId="0" xfId="0" applyNumberFormat="1" applyFont="1" applyAlignment="1">
      <alignment horizontal="left"/>
    </xf>
    <xf numFmtId="170" fontId="0" fillId="0" borderId="0" xfId="0" applyNumberFormat="1"/>
    <xf numFmtId="170" fontId="0" fillId="0" borderId="0" xfId="0" applyNumberFormat="1" applyAlignment="1">
      <alignment horizontal="left"/>
    </xf>
    <xf numFmtId="169" fontId="17" fillId="0" borderId="0" xfId="0" applyNumberFormat="1" applyFont="1" applyAlignment="1">
      <alignment horizontal="left"/>
    </xf>
    <xf numFmtId="167" fontId="0" fillId="0" borderId="8" xfId="1" applyNumberFormat="1" applyFont="1" applyFill="1" applyBorder="1"/>
    <xf numFmtId="168" fontId="0" fillId="0" borderId="0" xfId="10" applyNumberFormat="1" applyFont="1" applyAlignment="1">
      <alignment horizontal="center" vertical="center"/>
    </xf>
    <xf numFmtId="170" fontId="0" fillId="0" borderId="0" xfId="10" applyNumberFormat="1" applyFont="1"/>
    <xf numFmtId="170" fontId="0" fillId="0" borderId="0" xfId="10" applyNumberFormat="1" applyFont="1" applyFill="1"/>
    <xf numFmtId="168" fontId="44" fillId="0" borderId="0" xfId="0" quotePrefix="1" applyNumberFormat="1" applyFont="1" applyAlignment="1">
      <alignment vertical="center"/>
    </xf>
    <xf numFmtId="167" fontId="42" fillId="0" borderId="0" xfId="0" quotePrefix="1" applyNumberFormat="1" applyFont="1"/>
    <xf numFmtId="167" fontId="0" fillId="0" borderId="28" xfId="0" applyNumberFormat="1" applyBorder="1"/>
    <xf numFmtId="167" fontId="4" fillId="0" borderId="0" xfId="1" applyNumberFormat="1" applyFont="1" applyFill="1" applyBorder="1"/>
    <xf numFmtId="0" fontId="45" fillId="0" borderId="0" xfId="0" applyFont="1"/>
    <xf numFmtId="168" fontId="46" fillId="0" borderId="0" xfId="0" quotePrefix="1" applyNumberFormat="1" applyFont="1"/>
    <xf numFmtId="44" fontId="0" fillId="0" borderId="0" xfId="0" applyNumberFormat="1"/>
    <xf numFmtId="44" fontId="3" fillId="0" borderId="0" xfId="1" applyFont="1" applyFill="1" applyBorder="1" applyAlignment="1">
      <alignment horizontal="right"/>
    </xf>
    <xf numFmtId="44" fontId="3" fillId="0" borderId="2" xfId="1" applyFont="1" applyBorder="1" applyAlignment="1">
      <alignment horizontal="right"/>
    </xf>
    <xf numFmtId="0" fontId="0" fillId="0" borderId="36" xfId="0" applyBorder="1"/>
    <xf numFmtId="0" fontId="4" fillId="0" borderId="36" xfId="0" applyFont="1" applyBorder="1" applyAlignment="1">
      <alignment wrapText="1"/>
    </xf>
    <xf numFmtId="0" fontId="7" fillId="0" borderId="36" xfId="0" applyFont="1" applyBorder="1" applyAlignment="1">
      <alignment horizontal="left" wrapText="1" indent="2"/>
    </xf>
    <xf numFmtId="0" fontId="4" fillId="0" borderId="36" xfId="0" applyFont="1" applyBorder="1" applyAlignment="1">
      <alignment horizontal="right" wrapText="1"/>
    </xf>
    <xf numFmtId="0" fontId="45" fillId="0" borderId="0" xfId="0" applyFont="1" applyAlignment="1">
      <alignment wrapText="1"/>
    </xf>
    <xf numFmtId="44" fontId="4" fillId="0" borderId="37" xfId="1" applyFont="1" applyBorder="1" applyAlignment="1">
      <alignment wrapText="1"/>
    </xf>
    <xf numFmtId="44" fontId="0" fillId="0" borderId="39" xfId="1" applyFont="1" applyBorder="1"/>
    <xf numFmtId="44" fontId="0" fillId="0" borderId="38" xfId="1" applyFont="1" applyBorder="1"/>
    <xf numFmtId="164" fontId="4" fillId="9" borderId="0" xfId="0" applyNumberFormat="1" applyFont="1" applyFill="1" applyAlignment="1">
      <alignment horizontal="left"/>
    </xf>
    <xf numFmtId="165" fontId="8" fillId="9" borderId="0" xfId="0" applyNumberFormat="1" applyFont="1" applyFill="1" applyAlignment="1">
      <alignment wrapText="1"/>
    </xf>
    <xf numFmtId="165" fontId="7" fillId="9" borderId="0" xfId="0" applyNumberFormat="1" applyFont="1" applyFill="1" applyAlignment="1">
      <alignment horizontal="left"/>
    </xf>
    <xf numFmtId="164" fontId="4" fillId="9" borderId="36" xfId="0" applyNumberFormat="1" applyFont="1" applyFill="1" applyBorder="1" applyAlignment="1">
      <alignment horizontal="left"/>
    </xf>
    <xf numFmtId="165" fontId="8" fillId="9" borderId="36" xfId="0" applyNumberFormat="1" applyFont="1" applyFill="1" applyBorder="1" applyAlignment="1">
      <alignment wrapText="1"/>
    </xf>
    <xf numFmtId="165" fontId="7" fillId="9" borderId="36" xfId="0" applyNumberFormat="1" applyFont="1" applyFill="1" applyBorder="1" applyAlignment="1">
      <alignment horizontal="left"/>
    </xf>
    <xf numFmtId="0" fontId="4" fillId="9" borderId="0" xfId="0" applyFont="1" applyFill="1" applyAlignment="1">
      <alignment wrapText="1"/>
    </xf>
    <xf numFmtId="165" fontId="36" fillId="9" borderId="0" xfId="0" applyNumberFormat="1" applyFont="1" applyFill="1" applyAlignment="1">
      <alignment horizontal="left"/>
    </xf>
    <xf numFmtId="0" fontId="4" fillId="9" borderId="36" xfId="0" applyFont="1" applyFill="1" applyBorder="1" applyAlignment="1">
      <alignment wrapText="1"/>
    </xf>
    <xf numFmtId="49" fontId="4" fillId="9" borderId="0" xfId="0" applyNumberFormat="1" applyFont="1" applyFill="1" applyAlignment="1">
      <alignment horizontal="left"/>
    </xf>
    <xf numFmtId="164" fontId="7" fillId="9" borderId="0" xfId="0" applyNumberFormat="1" applyFont="1" applyFill="1" applyAlignment="1">
      <alignment horizontal="left"/>
    </xf>
    <xf numFmtId="164" fontId="7" fillId="9" borderId="36" xfId="0" applyNumberFormat="1" applyFont="1" applyFill="1" applyBorder="1" applyAlignment="1">
      <alignment horizontal="left"/>
    </xf>
    <xf numFmtId="170" fontId="7" fillId="9" borderId="0" xfId="0" applyNumberFormat="1" applyFont="1" applyFill="1" applyAlignment="1">
      <alignment horizontal="left"/>
    </xf>
    <xf numFmtId="170" fontId="0" fillId="9" borderId="0" xfId="0" applyNumberFormat="1" applyFill="1" applyAlignment="1">
      <alignment horizontal="left"/>
    </xf>
    <xf numFmtId="165" fontId="0" fillId="9" borderId="0" xfId="0" applyNumberFormat="1" applyFill="1" applyAlignment="1">
      <alignment horizontal="left"/>
    </xf>
    <xf numFmtId="170" fontId="7" fillId="9" borderId="36" xfId="0" applyNumberFormat="1" applyFont="1" applyFill="1" applyBorder="1" applyAlignment="1">
      <alignment horizontal="left"/>
    </xf>
    <xf numFmtId="170" fontId="0" fillId="9" borderId="36" xfId="0" applyNumberFormat="1" applyFill="1" applyBorder="1" applyAlignment="1">
      <alignment horizontal="left"/>
    </xf>
    <xf numFmtId="164" fontId="38" fillId="9" borderId="0" xfId="0" quotePrefix="1" applyNumberFormat="1" applyFont="1" applyFill="1" applyAlignment="1">
      <alignment horizontal="left"/>
    </xf>
    <xf numFmtId="164" fontId="0" fillId="0" borderId="0" xfId="0" applyNumberFormat="1"/>
    <xf numFmtId="0" fontId="14" fillId="10" borderId="0" xfId="0" applyFont="1" applyFill="1" applyAlignment="1">
      <alignment wrapText="1"/>
    </xf>
    <xf numFmtId="167" fontId="0" fillId="10" borderId="0" xfId="1" applyNumberFormat="1" applyFont="1" applyFill="1" applyBorder="1"/>
    <xf numFmtId="167" fontId="0" fillId="10" borderId="8" xfId="1" applyNumberFormat="1" applyFont="1" applyFill="1" applyBorder="1"/>
    <xf numFmtId="167" fontId="0" fillId="10" borderId="28" xfId="1" applyNumberFormat="1" applyFont="1" applyFill="1" applyBorder="1"/>
    <xf numFmtId="167" fontId="4" fillId="10" borderId="0" xfId="1" applyNumberFormat="1" applyFont="1" applyFill="1" applyBorder="1"/>
    <xf numFmtId="165" fontId="0" fillId="10" borderId="0" xfId="1" applyNumberFormat="1" applyFont="1" applyFill="1" applyBorder="1"/>
    <xf numFmtId="167" fontId="0" fillId="10" borderId="30" xfId="1" applyNumberFormat="1" applyFont="1" applyFill="1" applyBorder="1"/>
    <xf numFmtId="0" fontId="4" fillId="10" borderId="0" xfId="0" applyFont="1" applyFill="1" applyAlignment="1">
      <alignment vertical="center" wrapText="1"/>
    </xf>
    <xf numFmtId="0" fontId="30" fillId="0" borderId="0" xfId="0" applyFont="1"/>
    <xf numFmtId="0" fontId="53" fillId="0" borderId="10" xfId="12" applyFont="1" applyBorder="1"/>
    <xf numFmtId="0" fontId="0" fillId="10" borderId="0" xfId="0" applyFill="1"/>
    <xf numFmtId="167" fontId="42" fillId="10" borderId="0" xfId="0" quotePrefix="1" applyNumberFormat="1" applyFont="1" applyFill="1"/>
    <xf numFmtId="167" fontId="0" fillId="10" borderId="0" xfId="0" applyNumberFormat="1" applyFill="1"/>
    <xf numFmtId="167" fontId="0" fillId="10" borderId="28" xfId="0" applyNumberFormat="1" applyFill="1" applyBorder="1"/>
    <xf numFmtId="0" fontId="30" fillId="0" borderId="0" xfId="0" applyFont="1" applyAlignment="1">
      <alignment wrapText="1"/>
    </xf>
    <xf numFmtId="164" fontId="0" fillId="9" borderId="40" xfId="0" applyNumberFormat="1" applyFill="1" applyBorder="1" applyAlignment="1">
      <alignment horizontal="left"/>
    </xf>
    <xf numFmtId="164" fontId="11" fillId="9" borderId="40" xfId="0" applyNumberFormat="1" applyFont="1" applyFill="1" applyBorder="1" applyAlignment="1">
      <alignment horizontal="left"/>
    </xf>
    <xf numFmtId="165" fontId="43" fillId="9" borderId="40" xfId="0" applyNumberFormat="1" applyFont="1" applyFill="1" applyBorder="1" applyAlignment="1">
      <alignment horizontal="left"/>
    </xf>
    <xf numFmtId="0" fontId="4" fillId="9" borderId="41" xfId="0" applyFont="1" applyFill="1" applyBorder="1"/>
    <xf numFmtId="164" fontId="4" fillId="9" borderId="40" xfId="0" applyNumberFormat="1" applyFont="1" applyFill="1" applyBorder="1" applyAlignment="1">
      <alignment wrapText="1"/>
    </xf>
    <xf numFmtId="0" fontId="48" fillId="0" borderId="0" xfId="0" applyFont="1" applyAlignment="1">
      <alignment wrapText="1"/>
    </xf>
    <xf numFmtId="168" fontId="46" fillId="0" borderId="0" xfId="0" applyNumberFormat="1" applyFont="1"/>
    <xf numFmtId="168" fontId="0" fillId="0" borderId="0" xfId="0" applyNumberFormat="1"/>
    <xf numFmtId="0" fontId="39" fillId="9" borderId="41" xfId="0" applyFont="1" applyFill="1" applyBorder="1" applyAlignment="1">
      <alignment wrapText="1"/>
    </xf>
    <xf numFmtId="0" fontId="50" fillId="0" borderId="0" xfId="0" applyFont="1"/>
    <xf numFmtId="168" fontId="0" fillId="0" borderId="0" xfId="0" applyNumberFormat="1" applyAlignment="1">
      <alignment horizontal="right"/>
    </xf>
    <xf numFmtId="167" fontId="3" fillId="11" borderId="0" xfId="1" applyNumberFormat="1" applyFont="1" applyFill="1" applyBorder="1"/>
    <xf numFmtId="167" fontId="3" fillId="11" borderId="28" xfId="1" applyNumberFormat="1" applyFont="1" applyFill="1" applyBorder="1"/>
    <xf numFmtId="167" fontId="4" fillId="11" borderId="3" xfId="0" applyNumberFormat="1" applyFont="1" applyFill="1" applyBorder="1"/>
    <xf numFmtId="167" fontId="3" fillId="11" borderId="34" xfId="1" applyNumberFormat="1" applyFont="1" applyFill="1" applyBorder="1"/>
    <xf numFmtId="167" fontId="0" fillId="11" borderId="0" xfId="1" applyNumberFormat="1" applyFont="1" applyFill="1" applyBorder="1"/>
    <xf numFmtId="167" fontId="3" fillId="11" borderId="35" xfId="1" applyNumberFormat="1" applyFont="1" applyFill="1" applyBorder="1"/>
    <xf numFmtId="0" fontId="14" fillId="11" borderId="0" xfId="0" applyFont="1" applyFill="1" applyAlignment="1">
      <alignment wrapText="1"/>
    </xf>
    <xf numFmtId="167" fontId="3" fillId="11" borderId="0" xfId="1" applyNumberFormat="1" applyFont="1" applyFill="1" applyBorder="1" applyAlignment="1">
      <alignment horizontal="right"/>
    </xf>
    <xf numFmtId="167" fontId="4" fillId="11" borderId="4" xfId="0" applyNumberFormat="1" applyFont="1" applyFill="1" applyBorder="1"/>
    <xf numFmtId="0" fontId="39" fillId="11" borderId="0" xfId="0" applyFont="1" applyFill="1" applyAlignment="1">
      <alignment wrapText="1"/>
    </xf>
    <xf numFmtId="0" fontId="41" fillId="0" borderId="0" xfId="0" applyFont="1" applyAlignment="1">
      <alignment wrapText="1"/>
    </xf>
    <xf numFmtId="167" fontId="4" fillId="2" borderId="44" xfId="0" applyNumberFormat="1" applyFont="1" applyFill="1" applyBorder="1"/>
    <xf numFmtId="167" fontId="3" fillId="7" borderId="0" xfId="1" applyNumberFormat="1" applyFont="1" applyFill="1" applyBorder="1" applyAlignment="1">
      <alignment horizontal="right"/>
    </xf>
    <xf numFmtId="0" fontId="0" fillId="7" borderId="42" xfId="0" applyFill="1" applyBorder="1"/>
    <xf numFmtId="0" fontId="14" fillId="7" borderId="42" xfId="0" applyFont="1" applyFill="1" applyBorder="1" applyAlignment="1">
      <alignment wrapText="1"/>
    </xf>
    <xf numFmtId="167" fontId="0" fillId="7" borderId="42" xfId="1" applyNumberFormat="1" applyFont="1" applyFill="1" applyBorder="1"/>
    <xf numFmtId="167" fontId="0" fillId="7" borderId="43" xfId="1" applyNumberFormat="1" applyFont="1" applyFill="1" applyBorder="1"/>
    <xf numFmtId="167" fontId="4" fillId="7" borderId="41" xfId="0" applyNumberFormat="1" applyFont="1" applyFill="1" applyBorder="1"/>
    <xf numFmtId="0" fontId="14" fillId="7" borderId="0" xfId="0" applyFont="1" applyFill="1" applyAlignment="1">
      <alignment wrapText="1"/>
    </xf>
    <xf numFmtId="44" fontId="3" fillId="7" borderId="0" xfId="1" applyFont="1" applyFill="1" applyBorder="1"/>
    <xf numFmtId="44" fontId="3" fillId="7" borderId="28" xfId="1" applyFont="1" applyFill="1" applyBorder="1"/>
    <xf numFmtId="167" fontId="4" fillId="7" borderId="4" xfId="0" applyNumberFormat="1" applyFont="1" applyFill="1" applyBorder="1"/>
    <xf numFmtId="44" fontId="3" fillId="7" borderId="0" xfId="1" applyFont="1" applyFill="1" applyBorder="1" applyAlignment="1">
      <alignment horizontal="left"/>
    </xf>
    <xf numFmtId="171" fontId="0" fillId="0" borderId="0" xfId="0" applyNumberFormat="1"/>
    <xf numFmtId="0" fontId="21" fillId="0" borderId="36" xfId="0" applyFont="1" applyBorder="1"/>
    <xf numFmtId="165" fontId="7" fillId="9" borderId="45" xfId="0" applyNumberFormat="1" applyFont="1" applyFill="1" applyBorder="1" applyAlignment="1">
      <alignment horizontal="left"/>
    </xf>
    <xf numFmtId="164" fontId="4" fillId="9" borderId="36" xfId="0" applyNumberFormat="1" applyFont="1" applyFill="1" applyBorder="1" applyAlignment="1">
      <alignment horizontal="left" wrapText="1"/>
    </xf>
    <xf numFmtId="164" fontId="4" fillId="9" borderId="0" xfId="0" applyNumberFormat="1" applyFont="1" applyFill="1" applyAlignment="1">
      <alignment wrapText="1"/>
    </xf>
    <xf numFmtId="165" fontId="7" fillId="0" borderId="34" xfId="0" applyNumberFormat="1" applyFont="1" applyBorder="1" applyAlignment="1">
      <alignment horizontal="left"/>
    </xf>
    <xf numFmtId="0" fontId="2" fillId="0" borderId="0" xfId="0" applyFont="1" applyAlignment="1">
      <alignment horizontal="left" vertical="top" wrapText="1"/>
    </xf>
    <xf numFmtId="0" fontId="2" fillId="0" borderId="0" xfId="0" applyFont="1"/>
    <xf numFmtId="168" fontId="2" fillId="0" borderId="0" xfId="0" applyNumberFormat="1" applyFont="1"/>
    <xf numFmtId="0" fontId="2" fillId="7" borderId="0" xfId="0" applyFont="1" applyFill="1" applyAlignment="1">
      <alignment horizontal="left" vertical="top" wrapText="1"/>
    </xf>
    <xf numFmtId="0" fontId="2" fillId="7" borderId="0" xfId="0" applyFont="1" applyFill="1" applyAlignment="1">
      <alignment vertical="center" wrapText="1"/>
    </xf>
    <xf numFmtId="0" fontId="2" fillId="4" borderId="0" xfId="0" applyFont="1" applyFill="1" applyAlignment="1">
      <alignment vertical="center" wrapText="1"/>
    </xf>
    <xf numFmtId="0" fontId="45" fillId="9" borderId="40" xfId="0" applyFont="1" applyFill="1" applyBorder="1" applyAlignment="1">
      <alignment wrapText="1"/>
    </xf>
    <xf numFmtId="0" fontId="0" fillId="9" borderId="40" xfId="0" applyFill="1" applyBorder="1" applyAlignment="1">
      <alignment wrapText="1"/>
    </xf>
    <xf numFmtId="0" fontId="39" fillId="9" borderId="40" xfId="0" applyFont="1" applyFill="1" applyBorder="1" applyAlignment="1">
      <alignment wrapText="1"/>
    </xf>
    <xf numFmtId="0" fontId="4" fillId="9" borderId="40" xfId="0" applyFont="1" applyFill="1" applyBorder="1" applyAlignment="1">
      <alignment wrapText="1"/>
    </xf>
    <xf numFmtId="0" fontId="14" fillId="0" borderId="1" xfId="0" applyFont="1" applyBorder="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4" fillId="2" borderId="1" xfId="0" applyFont="1" applyFill="1" applyBorder="1" applyAlignment="1">
      <alignment horizontal="center"/>
    </xf>
    <xf numFmtId="0" fontId="4" fillId="2" borderId="0" xfId="0" applyFont="1" applyFill="1" applyAlignment="1">
      <alignment horizontal="center"/>
    </xf>
    <xf numFmtId="0" fontId="48" fillId="0" borderId="0" xfId="0" applyFont="1" applyAlignment="1">
      <alignment wrapText="1"/>
    </xf>
    <xf numFmtId="0" fontId="29" fillId="0" borderId="0" xfId="0" applyFont="1" applyAlignment="1">
      <alignment horizontal="left" vertical="top" wrapText="1"/>
    </xf>
    <xf numFmtId="0" fontId="40" fillId="0" borderId="0" xfId="0" applyFont="1" applyAlignment="1">
      <alignment horizontal="left" vertical="top" wrapText="1"/>
    </xf>
    <xf numFmtId="0" fontId="49" fillId="0" borderId="0" xfId="0" applyFont="1" applyAlignment="1">
      <alignment horizontal="left" vertical="top" wrapText="1"/>
    </xf>
    <xf numFmtId="0" fontId="4" fillId="0" borderId="0" xfId="0" applyFont="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7" xfId="0" applyFont="1" applyBorder="1" applyAlignment="1">
      <alignment horizontal="center"/>
    </xf>
    <xf numFmtId="0" fontId="4" fillId="0" borderId="33" xfId="0" applyFont="1" applyBorder="1" applyAlignment="1">
      <alignment horizontal="center"/>
    </xf>
    <xf numFmtId="0" fontId="14" fillId="0" borderId="5" xfId="0"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4" fillId="2" borderId="5" xfId="0" applyFont="1" applyFill="1" applyBorder="1" applyAlignment="1">
      <alignment horizontal="center"/>
    </xf>
    <xf numFmtId="0" fontId="14" fillId="2" borderId="4" xfId="0" applyFont="1" applyFill="1" applyBorder="1" applyAlignment="1">
      <alignment horizontal="center"/>
    </xf>
    <xf numFmtId="0" fontId="14" fillId="2" borderId="3" xfId="0" applyFont="1" applyFill="1" applyBorder="1" applyAlignment="1">
      <alignment horizontal="center"/>
    </xf>
    <xf numFmtId="0" fontId="0" fillId="0" borderId="0" xfId="0" applyAlignment="1">
      <alignment wrapText="1"/>
    </xf>
    <xf numFmtId="0" fontId="5" fillId="4" borderId="13" xfId="12" applyFont="1" applyFill="1" applyBorder="1" applyAlignment="1" applyProtection="1">
      <alignment horizontal="center" wrapText="1" readingOrder="1"/>
      <protection locked="0"/>
    </xf>
    <xf numFmtId="0" fontId="5" fillId="4" borderId="14" xfId="12" applyFont="1" applyFill="1" applyBorder="1" applyAlignment="1" applyProtection="1">
      <alignment horizontal="center" wrapText="1" readingOrder="1"/>
      <protection locked="0"/>
    </xf>
    <xf numFmtId="0" fontId="5" fillId="4" borderId="15" xfId="12" applyFont="1" applyFill="1" applyBorder="1" applyAlignment="1" applyProtection="1">
      <alignment horizontal="center" wrapText="1" readingOrder="1"/>
      <protection locked="0"/>
    </xf>
    <xf numFmtId="0" fontId="4" fillId="0" borderId="21" xfId="12" applyFont="1" applyBorder="1" applyAlignment="1" applyProtection="1">
      <alignment horizontal="center" wrapText="1" readingOrder="1"/>
      <protection locked="0"/>
    </xf>
    <xf numFmtId="0" fontId="4" fillId="0" borderId="22" xfId="12" applyFont="1" applyBorder="1" applyAlignment="1" applyProtection="1">
      <alignment horizontal="center" wrapText="1" readingOrder="1"/>
      <protection locked="0"/>
    </xf>
    <xf numFmtId="0" fontId="0" fillId="4" borderId="0" xfId="0" applyFill="1" applyAlignment="1">
      <alignment vertical="center" wrapText="1"/>
    </xf>
    <xf numFmtId="0" fontId="5" fillId="4" borderId="23" xfId="12" applyFont="1" applyFill="1" applyBorder="1" applyAlignment="1" applyProtection="1">
      <alignment vertical="center" wrapText="1" readingOrder="1"/>
      <protection locked="0"/>
    </xf>
    <xf numFmtId="0" fontId="5" fillId="4" borderId="24" xfId="12" applyFont="1" applyFill="1" applyBorder="1" applyAlignment="1" applyProtection="1">
      <alignment horizontal="center" wrapText="1" readingOrder="1"/>
      <protection locked="0"/>
    </xf>
    <xf numFmtId="0" fontId="5" fillId="4" borderId="25" xfId="12" applyFont="1" applyFill="1" applyBorder="1" applyAlignment="1" applyProtection="1">
      <alignment horizontal="center" wrapText="1" readingOrder="1"/>
      <protection locked="0"/>
    </xf>
    <xf numFmtId="0" fontId="6" fillId="0" borderId="26" xfId="12" applyFont="1" applyBorder="1" applyAlignment="1">
      <alignment horizontal="center"/>
    </xf>
    <xf numFmtId="0" fontId="6" fillId="0" borderId="27" xfId="12" applyFont="1" applyBorder="1" applyAlignment="1">
      <alignment horizontal="center"/>
    </xf>
    <xf numFmtId="6" fontId="0" fillId="0" borderId="0" xfId="0" applyNumberFormat="1" applyAlignment="1">
      <alignment horizontal="right" vertical="center"/>
    </xf>
    <xf numFmtId="0" fontId="0" fillId="0" borderId="0" xfId="0" applyAlignment="1">
      <alignment horizontal="right" vertical="center"/>
    </xf>
    <xf numFmtId="168" fontId="0" fillId="0" borderId="0" xfId="10" applyNumberFormat="1" applyFont="1" applyAlignment="1">
      <alignment horizontal="center" vertical="center"/>
    </xf>
    <xf numFmtId="168" fontId="3" fillId="0" borderId="0" xfId="10" applyNumberFormat="1" applyFont="1" applyAlignment="1">
      <alignment horizontal="left" vertical="center"/>
    </xf>
    <xf numFmtId="168" fontId="3" fillId="0" borderId="0" xfId="10" applyNumberFormat="1"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top" wrapText="1"/>
    </xf>
    <xf numFmtId="168" fontId="3" fillId="0" borderId="0" xfId="10" applyNumberFormat="1" applyFont="1" applyAlignment="1">
      <alignment horizontal="left" vertical="center" wrapText="1"/>
    </xf>
    <xf numFmtId="0" fontId="2" fillId="7" borderId="0" xfId="0" applyFont="1" applyFill="1" applyAlignment="1">
      <alignment horizontal="left" vertical="top" wrapText="1"/>
    </xf>
    <xf numFmtId="0" fontId="0" fillId="0" borderId="0" xfId="0" applyAlignment="1">
      <alignment horizontal="left" vertical="top" wrapText="1"/>
    </xf>
    <xf numFmtId="168" fontId="3" fillId="0" borderId="0" xfId="10" applyNumberFormat="1" applyFont="1" applyAlignment="1">
      <alignment horizontal="center" vertical="center"/>
    </xf>
  </cellXfs>
  <cellStyles count="14">
    <cellStyle name="Comma" xfId="10" builtinId="3"/>
    <cellStyle name="Currency" xfId="1" builtinId="4"/>
    <cellStyle name="Currency 2" xfId="13" xr:uid="{1DFC26E1-1747-7840-8157-5638EA00F67D}"/>
    <cellStyle name="Followed Hyperlink" xfId="9" builtinId="9" hidden="1"/>
    <cellStyle name="Followed Hyperlink" xfId="7" builtinId="9" hidden="1"/>
    <cellStyle name="Followed Hyperlink" xfId="3" builtinId="9" hidden="1"/>
    <cellStyle name="Followed Hyperlink" xfId="5" builtinId="9" hidden="1"/>
    <cellStyle name="Hyperlink" xfId="8" builtinId="8" hidden="1"/>
    <cellStyle name="Hyperlink" xfId="6" builtinId="8" hidden="1"/>
    <cellStyle name="Hyperlink" xfId="2" builtinId="8" hidden="1"/>
    <cellStyle name="Hyperlink" xfId="4" builtinId="8" hidden="1"/>
    <cellStyle name="Normal" xfId="0" builtinId="0"/>
    <cellStyle name="Normal 2" xfId="12" xr:uid="{BFCA2569-26EB-9244-BC03-D6B4DDB610A0}"/>
    <cellStyle name="Percent" xfId="1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Federal Agency Spending for Watershed Restoration (Fiscal Year 2022): Operating Levels Reported in Millions of Dollars</a:t>
            </a:r>
          </a:p>
        </c:rich>
      </c:tx>
      <c:layout>
        <c:manualLayout>
          <c:xMode val="edge"/>
          <c:yMode val="edge"/>
          <c:x val="0.1261534538487068"/>
          <c:y val="1.40358912105701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0A-408E-B6C7-7532ACE02CD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0A-408E-B6C7-7532ACE02CD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0A-408E-B6C7-7532ACE02CD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0A-408E-B6C7-7532ACE02CD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0A-408E-B6C7-7532ACE02CD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0A-408E-B6C7-7532ACE02CD2}"/>
              </c:ext>
            </c:extLst>
          </c:dPt>
          <c:dLbls>
            <c:dLbl>
              <c:idx val="0"/>
              <c:layout>
                <c:manualLayout>
                  <c:x val="0.20275047861327733"/>
                  <c:y val="-4.2879465863661495E-2"/>
                </c:manualLayout>
              </c:layout>
              <c:tx>
                <c:rich>
                  <a:bodyPr/>
                  <a:lstStyle/>
                  <a:p>
                    <a:r>
                      <a:rPr lang="en-US" baseline="0"/>
                      <a:t>U.S. Environmental Protection Agency: </a:t>
                    </a:r>
                    <a:fld id="{9D9E92CD-8C91-43DF-BAB4-F87D712D8978}"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F0A-408E-B6C7-7532ACE02CD2}"/>
                </c:ext>
              </c:extLst>
            </c:dLbl>
            <c:dLbl>
              <c:idx val="1"/>
              <c:layout>
                <c:manualLayout>
                  <c:x val="1.4145382228833301E-2"/>
                  <c:y val="0.14471819728985719"/>
                </c:manualLayout>
              </c:layout>
              <c:tx>
                <c:rich>
                  <a:bodyPr/>
                  <a:lstStyle/>
                  <a:p>
                    <a:r>
                      <a:rPr lang="en-US" baseline="0"/>
                      <a:t>U.S. Department of Agriculture: </a:t>
                    </a:r>
                    <a:fld id="{4E33A173-6762-428C-A04D-BC98E8107A9A}"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F0A-408E-B6C7-7532ACE02CD2}"/>
                </c:ext>
              </c:extLst>
            </c:dLbl>
            <c:dLbl>
              <c:idx val="2"/>
              <c:layout>
                <c:manualLayout>
                  <c:x val="-0.19567778749886067"/>
                  <c:y val="5.6279298946055552E-2"/>
                </c:manualLayout>
              </c:layout>
              <c:tx>
                <c:rich>
                  <a:bodyPr/>
                  <a:lstStyle/>
                  <a:p>
                    <a:r>
                      <a:rPr lang="en-US" baseline="0"/>
                      <a:t>U.S. Department of Commerce: </a:t>
                    </a:r>
                    <a:fld id="{DEE57AFF-E824-44BB-AA62-DCA8B10915B9}"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F0A-408E-B6C7-7532ACE02CD2}"/>
                </c:ext>
              </c:extLst>
            </c:dLbl>
            <c:dLbl>
              <c:idx val="3"/>
              <c:layout>
                <c:manualLayout>
                  <c:x val="-0.19332022379405511"/>
                  <c:y val="2.6799666164788404E-3"/>
                </c:manualLayout>
              </c:layout>
              <c:tx>
                <c:rich>
                  <a:bodyPr/>
                  <a:lstStyle/>
                  <a:p>
                    <a:r>
                      <a:rPr lang="en-US" baseline="0"/>
                      <a:t>U.S. Department of Defense: </a:t>
                    </a:r>
                    <a:fld id="{1ADC1A3B-1147-489A-A900-A46B9D692B8B}"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F0A-408E-B6C7-7532ACE02CD2}"/>
                </c:ext>
              </c:extLst>
            </c:dLbl>
            <c:dLbl>
              <c:idx val="4"/>
              <c:layout>
                <c:manualLayout>
                  <c:x val="-0.24872297085698555"/>
                  <c:y val="-0.1045186980426748"/>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en-US" baseline="0"/>
                      <a:t>U.S. Department of Homeland Security: </a:t>
                    </a:r>
                    <a:fld id="{653FF02B-8ECA-4C2E-A6BF-899B5BA05DAB}" type="VALUE">
                      <a:rPr lang="en-US" baseline="0"/>
                      <a:pPr>
                        <a:defRPr/>
                      </a:pPr>
                      <a:t>[VALUE]</a:t>
                    </a:fld>
                    <a:endParaRPr lang="en-US" baseline="0"/>
                  </a:p>
                </c:rich>
              </c:tx>
              <c:spPr>
                <a:xfrm>
                  <a:off x="208845" y="1042895"/>
                  <a:ext cx="1259764" cy="458744"/>
                </a:xfrm>
                <a:solidFill>
                  <a:sysClr val="window" lastClr="FFFFFF"/>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8426"/>
                        <a:gd name="adj2" fmla="val 308"/>
                      </a:avLst>
                    </a:prstGeom>
                    <a:noFill/>
                    <a:ln>
                      <a:noFill/>
                    </a:ln>
                  </c15:spPr>
                  <c15:layout>
                    <c:manualLayout>
                      <c:w val="0.23385621126146922"/>
                      <c:h val="9.6804614607084186E-2"/>
                    </c:manualLayout>
                  </c15:layout>
                  <c15:dlblFieldTable/>
                  <c15:showDataLabelsRange val="0"/>
                </c:ext>
                <c:ext xmlns:c16="http://schemas.microsoft.com/office/drawing/2014/chart" uri="{C3380CC4-5D6E-409C-BE32-E72D297353CC}">
                  <c16:uniqueId val="{00000009-1F0A-408E-B6C7-7532ACE02CD2}"/>
                </c:ext>
              </c:extLst>
            </c:dLbl>
            <c:dLbl>
              <c:idx val="5"/>
              <c:layout>
                <c:manualLayout>
                  <c:x val="2.2396855195652703E-2"/>
                  <c:y val="-0.15007813052281507"/>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r>
                      <a:rPr lang="en-US" u="none" baseline="0"/>
                      <a:t>U.S. Department of the Interior: </a:t>
                    </a:r>
                    <a:fld id="{1DE25A70-A294-4D65-B14E-84189EFB9804}" type="VALUE">
                      <a:rPr lang="en-US" u="none" baseline="0"/>
                      <a:pPr>
                        <a:defRPr/>
                      </a:pPr>
                      <a:t>[VALUE]</a:t>
                    </a:fld>
                    <a:endParaRPr lang="en-US" u="none" baseline="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31210245117940377"/>
                      <c:h val="7.2932231663067004E-2"/>
                    </c:manualLayout>
                  </c15:layout>
                  <c15:dlblFieldTable/>
                  <c15:showDataLabelsRange val="0"/>
                </c:ext>
                <c:ext xmlns:c16="http://schemas.microsoft.com/office/drawing/2014/chart" uri="{C3380CC4-5D6E-409C-BE32-E72D297353CC}">
                  <c16:uniqueId val="{0000000B-1F0A-408E-B6C7-7532ACE02CD2}"/>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('Federal (FY14-22)'!$J$6,'Federal (FY14-22)'!$W$6,'Federal (FY14-22)'!$AK$6,'Federal (FY14-22)'!$AX$6,'Federal (FY14-22)'!$BK$6,'Federal (FY14-22)'!$BX$6)</c:f>
              <c:numCache>
                <c:formatCode>"$"#,##0.0_);[Red]\("$"#,##0.0\)</c:formatCode>
                <c:ptCount val="6"/>
                <c:pt idx="0">
                  <c:v>198.1</c:v>
                </c:pt>
                <c:pt idx="1">
                  <c:v>161.34299999999999</c:v>
                </c:pt>
                <c:pt idx="2">
                  <c:v>20.400000000000002</c:v>
                </c:pt>
                <c:pt idx="3">
                  <c:v>113.2</c:v>
                </c:pt>
                <c:pt idx="4">
                  <c:v>2.11</c:v>
                </c:pt>
                <c:pt idx="5">
                  <c:v>40.949999999999996</c:v>
                </c:pt>
              </c:numCache>
            </c:numRef>
          </c:val>
          <c:extLst>
            <c:ext xmlns:c16="http://schemas.microsoft.com/office/drawing/2014/chart" uri="{C3380CC4-5D6E-409C-BE32-E72D297353CC}">
              <c16:uniqueId val="{00000001-9723-4F53-8502-DC46C1AE6467}"/>
            </c:ext>
          </c:extLst>
        </c:ser>
        <c:dLbls>
          <c:showLegendKey val="0"/>
          <c:showVal val="0"/>
          <c:showCatName val="0"/>
          <c:showSerName val="0"/>
          <c:showPercent val="0"/>
          <c:showBubbleSize val="0"/>
          <c:showLeaderLines val="0"/>
        </c:dLbls>
        <c:firstSliceAng val="0"/>
        <c:holeSize val="39"/>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Infrastructure Investment and Jobs Act Directed Funds,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'IIJA Funds Summary (2022)'!$B$15</c:f>
              <c:strCache>
                <c:ptCount val="1"/>
                <c:pt idx="0">
                  <c:v>MEB (allocated)1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'IIJA Funds Summary (2022)'!$A$16:$A$22</c:f>
              <c:strCache>
                <c:ptCount val="7"/>
                <c:pt idx="0">
                  <c:v>Delaware</c:v>
                </c:pt>
                <c:pt idx="1">
                  <c:v>District of Columbia</c:v>
                </c:pt>
                <c:pt idx="2">
                  <c:v>Maryland</c:v>
                </c:pt>
                <c:pt idx="3">
                  <c:v>New York</c:v>
                </c:pt>
                <c:pt idx="4">
                  <c:v>Pennsylvania</c:v>
                </c:pt>
                <c:pt idx="5">
                  <c:v>Virginia</c:v>
                </c:pt>
                <c:pt idx="6">
                  <c:v>West Virginia</c:v>
                </c:pt>
              </c:strCache>
            </c:strRef>
          </c:cat>
          <c:val>
            <c:numRef>
              <c:f>'IIJA Funds Summary (2022)'!$B$16:$B$22</c:f>
              <c:numCache>
                <c:formatCode>_("$"* #,##0_);_("$"* \(#,##0\);_("$"* "-"??_);_(@_)</c:formatCode>
                <c:ptCount val="7"/>
                <c:pt idx="0">
                  <c:v>750000</c:v>
                </c:pt>
                <c:pt idx="1">
                  <c:v>500000</c:v>
                </c:pt>
                <c:pt idx="2">
                  <c:v>3212158</c:v>
                </c:pt>
                <c:pt idx="3">
                  <c:v>1289758</c:v>
                </c:pt>
                <c:pt idx="4">
                  <c:v>5598333</c:v>
                </c:pt>
                <c:pt idx="5">
                  <c:v>3149751</c:v>
                </c:pt>
                <c:pt idx="6">
                  <c:v>500000</c:v>
                </c:pt>
              </c:numCache>
            </c:numRef>
          </c:val>
          <c:extLst>
            <c:ext xmlns:c16="http://schemas.microsoft.com/office/drawing/2014/chart" uri="{C3380CC4-5D6E-409C-BE32-E72D297353CC}">
              <c16:uniqueId val="{00000001-E192-4B71-B21B-B2987233BF99}"/>
            </c:ext>
          </c:extLst>
        </c:ser>
        <c:ser>
          <c:idx val="1"/>
          <c:order val="1"/>
          <c:tx>
            <c:strRef>
              <c:f>'IIJA Funds Summary (2022)'!$C$15</c:f>
              <c:strCache>
                <c:ptCount val="1"/>
                <c:pt idx="0">
                  <c:v>INSR (competitive)2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'IIJA Funds Summary (2022)'!$A$16:$A$22</c:f>
              <c:strCache>
                <c:ptCount val="7"/>
                <c:pt idx="0">
                  <c:v>Delaware</c:v>
                </c:pt>
                <c:pt idx="1">
                  <c:v>District of Columbia</c:v>
                </c:pt>
                <c:pt idx="2">
                  <c:v>Maryland</c:v>
                </c:pt>
                <c:pt idx="3">
                  <c:v>New York</c:v>
                </c:pt>
                <c:pt idx="4">
                  <c:v>Pennsylvania</c:v>
                </c:pt>
                <c:pt idx="5">
                  <c:v>Virginia</c:v>
                </c:pt>
                <c:pt idx="6">
                  <c:v>West Virginia</c:v>
                </c:pt>
              </c:strCache>
            </c:strRef>
          </c:cat>
          <c:val>
            <c:numRef>
              <c:f>'IIJA Funds Summary (2022)'!$C$16:$C$22</c:f>
              <c:numCache>
                <c:formatCode>_("$"* #,##0.00_);_("$"* \(#,##0.00\);_("$"* "-"??_);_(@_)</c:formatCode>
                <c:ptCount val="7"/>
                <c:pt idx="0">
                  <c:v>0</c:v>
                </c:pt>
                <c:pt idx="1">
                  <c:v>0</c:v>
                </c:pt>
                <c:pt idx="2" formatCode="General">
                  <c:v>0</c:v>
                </c:pt>
                <c:pt idx="3" formatCode="General">
                  <c:v>0</c:v>
                </c:pt>
                <c:pt idx="4" formatCode="General">
                  <c:v>0</c:v>
                </c:pt>
                <c:pt idx="5" formatCode="General">
                  <c:v>0</c:v>
                </c:pt>
                <c:pt idx="6" formatCode="General">
                  <c:v>0</c:v>
                </c:pt>
              </c:numCache>
            </c:numRef>
          </c:val>
          <c:extLst>
            <c:ext xmlns:c16="http://schemas.microsoft.com/office/drawing/2014/chart" uri="{C3380CC4-5D6E-409C-BE32-E72D297353CC}">
              <c16:uniqueId val="{00000003-E192-4B71-B21B-B2987233BF99}"/>
            </c:ext>
          </c:extLst>
        </c:ser>
        <c:ser>
          <c:idx val="2"/>
          <c:order val="2"/>
          <c:tx>
            <c:strRef>
              <c:f>'IIJA Funds Summary (2022)'!$D$15</c:f>
              <c:strCache>
                <c:ptCount val="1"/>
                <c:pt idx="0">
                  <c:v>SWG (competitive)2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'IIJA Funds Summary (2022)'!$A$16:$A$22</c:f>
              <c:strCache>
                <c:ptCount val="7"/>
                <c:pt idx="0">
                  <c:v>Delaware</c:v>
                </c:pt>
                <c:pt idx="1">
                  <c:v>District of Columbia</c:v>
                </c:pt>
                <c:pt idx="2">
                  <c:v>Maryland</c:v>
                </c:pt>
                <c:pt idx="3">
                  <c:v>New York</c:v>
                </c:pt>
                <c:pt idx="4">
                  <c:v>Pennsylvania</c:v>
                </c:pt>
                <c:pt idx="5">
                  <c:v>Virginia</c:v>
                </c:pt>
                <c:pt idx="6">
                  <c:v>West Virginia</c:v>
                </c:pt>
              </c:strCache>
            </c:strRef>
          </c:cat>
          <c:val>
            <c:numRef>
              <c:f>'IIJA Funds Summary (2022)'!$D$16:$D$22</c:f>
              <c:numCache>
                <c:formatCode>_("$"* #,##0_);_("$"* \(#,##0\);_("$"* "-"??_);_(@_)</c:formatCode>
                <c:ptCount val="7"/>
                <c:pt idx="0" formatCode="_(&quot;$&quot;* #,##0.00_);_(&quot;$&quot;* \(#,##0.00\);_(&quot;$&quot;* &quot;-&quot;??_);_(@_)">
                  <c:v>0</c:v>
                </c:pt>
                <c:pt idx="1">
                  <c:v>264248.64</c:v>
                </c:pt>
                <c:pt idx="2">
                  <c:v>4152897.64</c:v>
                </c:pt>
                <c:pt idx="3">
                  <c:v>194900</c:v>
                </c:pt>
                <c:pt idx="4">
                  <c:v>4785823.9800000004</c:v>
                </c:pt>
                <c:pt idx="5">
                  <c:v>4041694.06</c:v>
                </c:pt>
                <c:pt idx="6">
                  <c:v>499145.9</c:v>
                </c:pt>
              </c:numCache>
            </c:numRef>
          </c:val>
          <c:extLst>
            <c:ext xmlns:c16="http://schemas.microsoft.com/office/drawing/2014/chart" uri="{C3380CC4-5D6E-409C-BE32-E72D297353CC}">
              <c16:uniqueId val="{00000005-E192-4B71-B21B-B2987233BF99}"/>
            </c:ext>
          </c:extLst>
        </c:ser>
        <c:ser>
          <c:idx val="3"/>
          <c:order val="3"/>
          <c:tx>
            <c:strRef>
              <c:f>'IIJA Funds Summary (2022)'!$E$15</c:f>
              <c:strCache>
                <c:ptCount val="1"/>
                <c:pt idx="0">
                  <c:v>Leveraged Funds3</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'IIJA Funds Summary (2022)'!$A$16:$A$22</c:f>
              <c:strCache>
                <c:ptCount val="7"/>
                <c:pt idx="0">
                  <c:v>Delaware</c:v>
                </c:pt>
                <c:pt idx="1">
                  <c:v>District of Columbia</c:v>
                </c:pt>
                <c:pt idx="2">
                  <c:v>Maryland</c:v>
                </c:pt>
                <c:pt idx="3">
                  <c:v>New York</c:v>
                </c:pt>
                <c:pt idx="4">
                  <c:v>Pennsylvania</c:v>
                </c:pt>
                <c:pt idx="5">
                  <c:v>Virginia</c:v>
                </c:pt>
                <c:pt idx="6">
                  <c:v>West Virginia</c:v>
                </c:pt>
              </c:strCache>
            </c:strRef>
          </c:cat>
          <c:val>
            <c:numRef>
              <c:f>'IIJA Funds Summary (2022)'!$E$16:$E$22</c:f>
              <c:numCache>
                <c:formatCode>_("$"* #,##0_);_("$"* \(#,##0\);_("$"* "-"??_);_(@_)</c:formatCode>
                <c:ptCount val="7"/>
                <c:pt idx="0" formatCode="_(&quot;$&quot;* #,##0.00_);_(&quot;$&quot;* \(#,##0.00\);_(&quot;$&quot;* &quot;-&quot;??_);_(@_)">
                  <c:v>0</c:v>
                </c:pt>
                <c:pt idx="1">
                  <c:v>24657.83</c:v>
                </c:pt>
                <c:pt idx="2">
                  <c:v>525633.32999999996</c:v>
                </c:pt>
                <c:pt idx="3">
                  <c:v>25000</c:v>
                </c:pt>
                <c:pt idx="4">
                  <c:v>1846365.7</c:v>
                </c:pt>
                <c:pt idx="5">
                  <c:v>564382.93999999994</c:v>
                </c:pt>
                <c:pt idx="6">
                  <c:v>875729.05</c:v>
                </c:pt>
              </c:numCache>
            </c:numRef>
          </c:val>
          <c:extLst>
            <c:ext xmlns:c16="http://schemas.microsoft.com/office/drawing/2014/chart" uri="{C3380CC4-5D6E-409C-BE32-E72D297353CC}">
              <c16:uniqueId val="{00000007-E192-4B71-B21B-B2987233BF99}"/>
            </c:ext>
          </c:extLst>
        </c:ser>
        <c:dLbls>
          <c:dLblPos val="outEnd"/>
          <c:showLegendKey val="0"/>
          <c:showVal val="1"/>
          <c:showCatName val="0"/>
          <c:showSerName val="0"/>
          <c:showPercent val="0"/>
          <c:showBubbleSize val="0"/>
        </c:dLbls>
        <c:gapWidth val="219"/>
        <c:overlap val="-27"/>
        <c:axId val="1831237128"/>
        <c:axId val="1831240488"/>
      </c:barChart>
      <c:catAx>
        <c:axId val="183123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240488"/>
        <c:crosses val="autoZero"/>
        <c:auto val="1"/>
        <c:lblAlgn val="ctr"/>
        <c:lblOffset val="100"/>
        <c:noMultiLvlLbl val="0"/>
      </c:catAx>
      <c:valAx>
        <c:axId val="1831240488"/>
        <c:scaling>
          <c:orientation val="minMax"/>
          <c:max val="6000000"/>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237128"/>
        <c:crosses val="autoZero"/>
        <c:crossBetween val="between"/>
        <c:maj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Department of the Interior Spending for Watershed Restoration (Fiscal Year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89D-4667-8442-A4EFB186E04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89D-4667-8442-A4EFB186E04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89D-4667-8442-A4EFB186E045}"/>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89D-4667-8442-A4EFB186E04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('Federal (FY14-22)'!$BO$7,'Federal (FY14-22)'!$BO$8,'Federal (FY14-22)'!$BO$9,'Federal (FY14-22)'!$BO$10)</c:f>
              <c:strCache>
                <c:ptCount val="3"/>
                <c:pt idx="0">
                  <c:v>U.S. Fish and Wildlife Service</c:v>
                </c:pt>
                <c:pt idx="1">
                  <c:v>National Park Service</c:v>
                </c:pt>
                <c:pt idx="2">
                  <c:v>U.S. Geological Survey</c:v>
                </c:pt>
              </c:strCache>
            </c:strRef>
          </c:cat>
          <c:val>
            <c:numRef>
              <c:f>('Federal (FY14-22)'!$BX$7,'Federal (FY14-22)'!$BX$8,'Federal (FY14-22)'!$BX$9,'Federal (FY14-22)'!$BX$10)</c:f>
              <c:numCache>
                <c:formatCode>"$"#,##0.0</c:formatCode>
                <c:ptCount val="4"/>
                <c:pt idx="0">
                  <c:v>19.349999999999998</c:v>
                </c:pt>
                <c:pt idx="1">
                  <c:v>6.1</c:v>
                </c:pt>
                <c:pt idx="2">
                  <c:v>15.5</c:v>
                </c:pt>
              </c:numCache>
            </c:numRef>
          </c:val>
          <c:extLst>
            <c:ext xmlns:c16="http://schemas.microsoft.com/office/drawing/2014/chart" uri="{C3380CC4-5D6E-409C-BE32-E72D297353CC}">
              <c16:uniqueId val="{00000000-2282-4BCC-B145-2E19214C0BE3}"/>
            </c:ext>
          </c:extLst>
        </c:ser>
        <c:dLbls>
          <c:showLegendKey val="0"/>
          <c:showVal val="0"/>
          <c:showCatName val="0"/>
          <c:showSerName val="0"/>
          <c:showPercent val="0"/>
          <c:showBubbleSize val="0"/>
        </c:dLbls>
        <c:gapWidth val="98"/>
        <c:axId val="62159103"/>
        <c:axId val="62167423"/>
      </c:barChart>
      <c:catAx>
        <c:axId val="621591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67423"/>
        <c:crosses val="autoZero"/>
        <c:auto val="1"/>
        <c:lblAlgn val="ctr"/>
        <c:lblOffset val="100"/>
        <c:noMultiLvlLbl val="0"/>
      </c:catAx>
      <c:valAx>
        <c:axId val="62167423"/>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591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Department of Defense Spending for Watershed Restoration (Fiscal Year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1976-4700-9DC7-CA4B590011F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1976-4700-9DC7-CA4B590011F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('Federal (FY14-22)'!$AO$7,'Federal (FY14-22)'!$AO$8)</c:f>
              <c:strCache>
                <c:ptCount val="2"/>
                <c:pt idx="0">
                  <c:v>Services</c:v>
                </c:pt>
                <c:pt idx="1">
                  <c:v>U.S. Army Corps of Engineers</c:v>
                </c:pt>
              </c:strCache>
            </c:strRef>
          </c:cat>
          <c:val>
            <c:numRef>
              <c:f>('Federal (FY14-22)'!$AX$7,'Federal (FY14-22)'!$AX$8)</c:f>
              <c:numCache>
                <c:formatCode>"$"#,##0.0</c:formatCode>
                <c:ptCount val="2"/>
                <c:pt idx="0">
                  <c:v>62.7</c:v>
                </c:pt>
                <c:pt idx="1">
                  <c:v>50.5</c:v>
                </c:pt>
              </c:numCache>
            </c:numRef>
          </c:val>
          <c:extLst>
            <c:ext xmlns:c16="http://schemas.microsoft.com/office/drawing/2014/chart" uri="{C3380CC4-5D6E-409C-BE32-E72D297353CC}">
              <c16:uniqueId val="{00000000-7CFD-4767-9156-41FA7E81F861}"/>
            </c:ext>
          </c:extLst>
        </c:ser>
        <c:dLbls>
          <c:dLblPos val="outEnd"/>
          <c:showLegendKey val="0"/>
          <c:showVal val="1"/>
          <c:showCatName val="0"/>
          <c:showSerName val="0"/>
          <c:showPercent val="0"/>
          <c:showBubbleSize val="0"/>
        </c:dLbls>
        <c:gapWidth val="205"/>
        <c:axId val="1878870143"/>
        <c:axId val="1878877631"/>
      </c:barChart>
      <c:catAx>
        <c:axId val="18788701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877631"/>
        <c:crosses val="autoZero"/>
        <c:auto val="1"/>
        <c:lblAlgn val="ctr"/>
        <c:lblOffset val="100"/>
        <c:noMultiLvlLbl val="0"/>
      </c:catAx>
      <c:valAx>
        <c:axId val="187887763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8701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Environmental Protection Agency Spending for Watershed Restoration, Fiscal Year 2022 (in millions of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650-47FF-BB55-B7D3DA87D33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650-47FF-BB55-B7D3DA87D33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650-47FF-BB55-B7D3DA87D33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650-47FF-BB55-B7D3DA87D33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650-47FF-BB55-B7D3DA87D33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650-47FF-BB55-B7D3DA87D33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A650-47FF-BB55-B7D3DA87D33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A650-47FF-BB55-B7D3DA87D33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A650-47FF-BB55-B7D3DA87D33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A650-47FF-BB55-B7D3DA87D331}"/>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A650-47FF-BB55-B7D3DA87D331}"/>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A650-47FF-BB55-B7D3DA87D331}"/>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A650-47FF-BB55-B7D3DA87D331}"/>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A650-47FF-BB55-B7D3DA87D3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('Federal (FY14-22)'!$A$8,'Federal (FY14-22)'!$A$9,'Federal (FY14-22)'!$A$10,'Federal (FY14-22)'!$A$11,'Federal (FY14-22)'!$A$12,'Federal (FY14-22)'!$A$13,'Federal (FY14-22)'!$A$14,'Federal (FY14-22)'!$A$15,'Federal (FY14-22)'!$A$16,'Federal (FY14-22)'!$A$17,'Federal (FY14-22)'!$A$19,'Federal (FY14-22)'!$A$20,'Federal (FY14-22)'!$A$21,'Federal (FY14-22)'!$A$22)</c:f>
              <c:strCache>
                <c:ptCount val="14"/>
                <c:pt idx="0">
                  <c:v>Program Operations and Support</c:v>
                </c:pt>
                <c:pt idx="1">
                  <c:v>Partnership and Data Management Support</c:v>
                </c:pt>
                <c:pt idx="2">
                  <c:v>Water Quality Monitoring Grants</c:v>
                </c:pt>
                <c:pt idx="3">
                  <c:v>TMDL Implementation and Analysis</c:v>
                </c:pt>
                <c:pt idx="4">
                  <c:v>Reporting and Accountability</c:v>
                </c:pt>
                <c:pt idx="5">
                  <c:v>Permit Review and Rule Development, Guidance and Implementation</c:v>
                </c:pt>
                <c:pt idx="6">
                  <c:v>Enforcement</c:v>
                </c:pt>
                <c:pt idx="7">
                  <c:v>Small Watershed Grants</c:v>
                </c:pt>
                <c:pt idx="8">
                  <c:v>Innovative Nutrient and Sediment Reduction Grants</c:v>
                </c:pt>
                <c:pt idx="9">
                  <c:v>State Implementation Grants (CWA Sec. 117)</c:v>
                </c:pt>
                <c:pt idx="10">
                  <c:v>Non-Point Source Grants (CWA Sec. 319)</c:v>
                </c:pt>
                <c:pt idx="11">
                  <c:v>Pollution Control Grants (CWA Sec. 106)</c:v>
                </c:pt>
                <c:pt idx="12">
                  <c:v>Pollution Control Grants Monitoring (CWA Sec. 106)</c:v>
                </c:pt>
                <c:pt idx="13">
                  <c:v>Infrastructure Assistance Grants: Clean Water SRF</c:v>
                </c:pt>
              </c:strCache>
            </c:strRef>
          </c:cat>
          <c:val>
            <c:numRef>
              <c:f>('Federal (FY14-22)'!$J$8,'Federal (FY14-22)'!$J$9,'Federal (FY14-22)'!$J$10,'Federal (FY14-22)'!$J$11,'Federal (FY14-22)'!$J$12,'Federal (FY14-22)'!$J$13,'Federal (FY14-22)'!$J$14,'Federal (FY14-22)'!$J$15,'Federal (FY14-22)'!$J$16,'Federal (FY14-22)'!$J$17,'Federal (FY14-22)'!$J$19,'Federal (FY14-22)'!$J$20,'Federal (FY14-22)'!$J$21,'Federal (FY14-22)'!$J$22)</c:f>
              <c:numCache>
                <c:formatCode>"$"#,##0.0</c:formatCode>
                <c:ptCount val="14"/>
                <c:pt idx="0">
                  <c:v>7.4</c:v>
                </c:pt>
                <c:pt idx="1">
                  <c:v>10.6</c:v>
                </c:pt>
                <c:pt idx="2">
                  <c:v>5</c:v>
                </c:pt>
                <c:pt idx="3">
                  <c:v>1.8</c:v>
                </c:pt>
                <c:pt idx="4">
                  <c:v>2</c:v>
                </c:pt>
                <c:pt idx="5">
                  <c:v>3.9</c:v>
                </c:pt>
                <c:pt idx="6">
                  <c:v>1.6</c:v>
                </c:pt>
                <c:pt idx="7">
                  <c:v>9.6</c:v>
                </c:pt>
                <c:pt idx="8">
                  <c:v>9.6</c:v>
                </c:pt>
                <c:pt idx="9">
                  <c:v>36.5</c:v>
                </c:pt>
                <c:pt idx="10">
                  <c:v>8.9</c:v>
                </c:pt>
                <c:pt idx="11">
                  <c:v>11.6</c:v>
                </c:pt>
                <c:pt idx="12">
                  <c:v>0.9</c:v>
                </c:pt>
                <c:pt idx="13">
                  <c:v>88.7</c:v>
                </c:pt>
              </c:numCache>
            </c:numRef>
          </c:val>
          <c:extLst>
            <c:ext xmlns:c16="http://schemas.microsoft.com/office/drawing/2014/chart" uri="{C3380CC4-5D6E-409C-BE32-E72D297353CC}">
              <c16:uniqueId val="{00000000-F270-40A5-9292-71517A3091C5}"/>
            </c:ext>
          </c:extLst>
        </c:ser>
        <c:dLbls>
          <c:showLegendKey val="0"/>
          <c:showVal val="0"/>
          <c:showCatName val="0"/>
          <c:showSerName val="0"/>
          <c:showPercent val="0"/>
          <c:showBubbleSize val="0"/>
        </c:dLbls>
        <c:gapWidth val="62"/>
        <c:axId val="2101774239"/>
        <c:axId val="2101776319"/>
      </c:barChart>
      <c:catAx>
        <c:axId val="21017742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1776319"/>
        <c:crosses val="autoZero"/>
        <c:auto val="1"/>
        <c:lblAlgn val="ctr"/>
        <c:lblOffset val="100"/>
        <c:noMultiLvlLbl val="0"/>
      </c:catAx>
      <c:valAx>
        <c:axId val="2101776319"/>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17742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Department of Agriculture</a:t>
            </a:r>
            <a:r>
              <a:rPr lang="en-US" baseline="0"/>
              <a:t> Spending for Watershed Restoration (Fiscal Year 2022)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spPr>
            <a:ln>
              <a:solidFill>
                <a:srgbClr val="FFFF00">
                  <a:alpha val="98000"/>
                </a:srgbClr>
              </a:solidFill>
            </a:ln>
          </c:spPr>
          <c:invertIfNegative val="0"/>
          <c:dPt>
            <c:idx val="0"/>
            <c:invertIfNegative val="0"/>
            <c:bubble3D val="0"/>
            <c:spPr>
              <a:solidFill>
                <a:schemeClr val="accent1"/>
              </a:solidFill>
              <a:ln>
                <a:solidFill>
                  <a:srgbClr val="FFFF00">
                    <a:alpha val="98000"/>
                  </a:srgbClr>
                </a:solidFill>
              </a:ln>
              <a:effectLst/>
            </c:spPr>
            <c:extLst>
              <c:ext xmlns:c16="http://schemas.microsoft.com/office/drawing/2014/chart" uri="{C3380CC4-5D6E-409C-BE32-E72D297353CC}">
                <c16:uniqueId val="{00000001-8F72-4E27-95E8-07EA77D7A7D4}"/>
              </c:ext>
            </c:extLst>
          </c:dPt>
          <c:dPt>
            <c:idx val="1"/>
            <c:invertIfNegative val="0"/>
            <c:bubble3D val="0"/>
            <c:spPr>
              <a:solidFill>
                <a:schemeClr val="accent2"/>
              </a:solidFill>
              <a:ln>
                <a:solidFill>
                  <a:srgbClr val="FFFF00">
                    <a:alpha val="98000"/>
                  </a:srgbClr>
                </a:solidFill>
              </a:ln>
              <a:effectLst/>
            </c:spPr>
            <c:extLst>
              <c:ext xmlns:c16="http://schemas.microsoft.com/office/drawing/2014/chart" uri="{C3380CC4-5D6E-409C-BE32-E72D297353CC}">
                <c16:uniqueId val="{00000003-8F72-4E27-95E8-07EA77D7A7D4}"/>
              </c:ext>
            </c:extLst>
          </c:dPt>
          <c:dPt>
            <c:idx val="2"/>
            <c:invertIfNegative val="0"/>
            <c:bubble3D val="0"/>
            <c:spPr>
              <a:solidFill>
                <a:schemeClr val="accent3"/>
              </a:solidFill>
              <a:ln>
                <a:solidFill>
                  <a:srgbClr val="FFFF00">
                    <a:alpha val="98000"/>
                  </a:srgbClr>
                </a:solidFill>
              </a:ln>
              <a:effectLst/>
            </c:spPr>
            <c:extLst>
              <c:ext xmlns:c16="http://schemas.microsoft.com/office/drawing/2014/chart" uri="{C3380CC4-5D6E-409C-BE32-E72D297353CC}">
                <c16:uniqueId val="{00000005-8F72-4E27-95E8-07EA77D7A7D4}"/>
              </c:ext>
            </c:extLst>
          </c:dPt>
          <c:dPt>
            <c:idx val="3"/>
            <c:invertIfNegative val="0"/>
            <c:bubble3D val="0"/>
            <c:spPr>
              <a:solidFill>
                <a:schemeClr val="accent4"/>
              </a:solidFill>
              <a:ln>
                <a:solidFill>
                  <a:srgbClr val="FFFF00">
                    <a:alpha val="98000"/>
                  </a:srgbClr>
                </a:solidFill>
              </a:ln>
              <a:effectLst/>
            </c:spPr>
            <c:extLst>
              <c:ext xmlns:c16="http://schemas.microsoft.com/office/drawing/2014/chart" uri="{C3380CC4-5D6E-409C-BE32-E72D297353CC}">
                <c16:uniqueId val="{00000007-8F72-4E27-95E8-07EA77D7A7D4}"/>
              </c:ext>
            </c:extLst>
          </c:dPt>
          <c:dPt>
            <c:idx val="4"/>
            <c:invertIfNegative val="0"/>
            <c:bubble3D val="0"/>
            <c:spPr>
              <a:solidFill>
                <a:schemeClr val="accent5"/>
              </a:solidFill>
              <a:ln>
                <a:solidFill>
                  <a:srgbClr val="FFFF00">
                    <a:alpha val="98000"/>
                  </a:srgbClr>
                </a:solidFill>
              </a:ln>
              <a:effectLst/>
            </c:spPr>
            <c:extLst>
              <c:ext xmlns:c16="http://schemas.microsoft.com/office/drawing/2014/chart" uri="{C3380CC4-5D6E-409C-BE32-E72D297353CC}">
                <c16:uniqueId val="{00000009-8F72-4E27-95E8-07EA77D7A7D4}"/>
              </c:ext>
            </c:extLst>
          </c:dPt>
          <c:dPt>
            <c:idx val="5"/>
            <c:invertIfNegative val="0"/>
            <c:bubble3D val="0"/>
            <c:spPr>
              <a:solidFill>
                <a:schemeClr val="accent6"/>
              </a:solidFill>
              <a:ln>
                <a:solidFill>
                  <a:srgbClr val="FFFF00">
                    <a:alpha val="98000"/>
                  </a:srgbClr>
                </a:solidFill>
              </a:ln>
              <a:effectLst/>
            </c:spPr>
            <c:extLst>
              <c:ext xmlns:c16="http://schemas.microsoft.com/office/drawing/2014/chart" uri="{C3380CC4-5D6E-409C-BE32-E72D297353CC}">
                <c16:uniqueId val="{0000000B-8F72-4E27-95E8-07EA77D7A7D4}"/>
              </c:ext>
            </c:extLst>
          </c:dPt>
          <c:dPt>
            <c:idx val="6"/>
            <c:invertIfNegative val="0"/>
            <c:bubble3D val="0"/>
            <c:spPr>
              <a:solidFill>
                <a:schemeClr val="accent1">
                  <a:lumMod val="60000"/>
                </a:schemeClr>
              </a:solidFill>
              <a:ln>
                <a:solidFill>
                  <a:srgbClr val="FFFF00">
                    <a:alpha val="98000"/>
                  </a:srgbClr>
                </a:solidFill>
              </a:ln>
              <a:effectLst/>
            </c:spPr>
            <c:extLst>
              <c:ext xmlns:c16="http://schemas.microsoft.com/office/drawing/2014/chart" uri="{C3380CC4-5D6E-409C-BE32-E72D297353CC}">
                <c16:uniqueId val="{0000000D-8F72-4E27-95E8-07EA77D7A7D4}"/>
              </c:ext>
            </c:extLst>
          </c:dPt>
          <c:dPt>
            <c:idx val="7"/>
            <c:invertIfNegative val="0"/>
            <c:bubble3D val="0"/>
            <c:spPr>
              <a:solidFill>
                <a:schemeClr val="accent2">
                  <a:lumMod val="60000"/>
                </a:schemeClr>
              </a:solidFill>
              <a:ln>
                <a:solidFill>
                  <a:srgbClr val="FFFF00">
                    <a:alpha val="98000"/>
                  </a:srgbClr>
                </a:solidFill>
              </a:ln>
              <a:effectLst/>
            </c:spPr>
            <c:extLst>
              <c:ext xmlns:c16="http://schemas.microsoft.com/office/drawing/2014/chart" uri="{C3380CC4-5D6E-409C-BE32-E72D297353CC}">
                <c16:uniqueId val="{0000000F-8F72-4E27-95E8-07EA77D7A7D4}"/>
              </c:ext>
            </c:extLst>
          </c:dPt>
          <c:dPt>
            <c:idx val="8"/>
            <c:invertIfNegative val="0"/>
            <c:bubble3D val="0"/>
            <c:spPr>
              <a:solidFill>
                <a:schemeClr val="accent3">
                  <a:lumMod val="60000"/>
                </a:schemeClr>
              </a:solidFill>
              <a:ln>
                <a:solidFill>
                  <a:srgbClr val="FFFF00">
                    <a:alpha val="98000"/>
                  </a:srgbClr>
                </a:solidFill>
              </a:ln>
              <a:effectLst/>
            </c:spPr>
            <c:extLst>
              <c:ext xmlns:c16="http://schemas.microsoft.com/office/drawing/2014/chart" uri="{C3380CC4-5D6E-409C-BE32-E72D297353CC}">
                <c16:uniqueId val="{00000011-8F72-4E27-95E8-07EA77D7A7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('Federal (FY14-22)'!$N$7,'Federal (FY14-22)'!$N$8,'Federal (FY14-22)'!$N$9,'Federal (FY14-22)'!$N$10,'Federal (FY14-22)'!$N$11,'Federal (FY14-22)'!$N$12,'Federal (FY14-22)'!$N$13,'Federal (FY14-22)'!$N$14,'Federal (FY14-22)'!$N$15)</c:f>
              <c:strCache>
                <c:ptCount val="9"/>
                <c:pt idx="0">
                  <c:v>Animal and Plant Health Inspection Service</c:v>
                </c:pt>
                <c:pt idx="1">
                  <c:v>Agricultural Research Service</c:v>
                </c:pt>
                <c:pt idx="2">
                  <c:v>Economic Research Service</c:v>
                </c:pt>
                <c:pt idx="3">
                  <c:v>Farm Service Agency</c:v>
                </c:pt>
                <c:pt idx="4">
                  <c:v>Rural Development</c:v>
                </c:pt>
                <c:pt idx="5">
                  <c:v>Forest Service</c:v>
                </c:pt>
                <c:pt idx="6">
                  <c:v>Natural Resource Conservation Service</c:v>
                </c:pt>
                <c:pt idx="7">
                  <c:v>National Institute of Food and Agriculture</c:v>
                </c:pt>
                <c:pt idx="8">
                  <c:v>Office of the Chief Economist</c:v>
                </c:pt>
              </c:strCache>
            </c:strRef>
          </c:cat>
          <c:val>
            <c:numRef>
              <c:f>('Federal (FY14-22)'!$W$7,'Federal (FY14-22)'!$W$8,'Federal (FY14-22)'!$W$9,'Federal (FY14-22)'!$W$10,'Federal (FY14-22)'!$W$11,'Federal (FY14-22)'!$W$12,'Federal (FY14-22)'!$W$13,'Federal (FY14-22)'!$W$14,'Federal (FY14-22)'!$W$15)</c:f>
              <c:numCache>
                <c:formatCode>"$"#,##0.0</c:formatCode>
                <c:ptCount val="9"/>
                <c:pt idx="0">
                  <c:v>1.79</c:v>
                </c:pt>
                <c:pt idx="1">
                  <c:v>13.664</c:v>
                </c:pt>
                <c:pt idx="2">
                  <c:v>0</c:v>
                </c:pt>
                <c:pt idx="3">
                  <c:v>33.700000000000003</c:v>
                </c:pt>
                <c:pt idx="4">
                  <c:v>0</c:v>
                </c:pt>
                <c:pt idx="5">
                  <c:v>4.048</c:v>
                </c:pt>
                <c:pt idx="6">
                  <c:v>103.4</c:v>
                </c:pt>
                <c:pt idx="7">
                  <c:v>4.6890000000000001</c:v>
                </c:pt>
                <c:pt idx="8">
                  <c:v>5.1999999999999998E-2</c:v>
                </c:pt>
              </c:numCache>
            </c:numRef>
          </c:val>
          <c:extLst>
            <c:ext xmlns:c16="http://schemas.microsoft.com/office/drawing/2014/chart" uri="{C3380CC4-5D6E-409C-BE32-E72D297353CC}">
              <c16:uniqueId val="{00000000-4DDB-4D28-885D-777CB0CB4A63}"/>
            </c:ext>
          </c:extLst>
        </c:ser>
        <c:dLbls>
          <c:dLblPos val="outEnd"/>
          <c:showLegendKey val="0"/>
          <c:showVal val="1"/>
          <c:showCatName val="0"/>
          <c:showSerName val="0"/>
          <c:showPercent val="0"/>
          <c:showBubbleSize val="0"/>
        </c:dLbls>
        <c:gapWidth val="92"/>
        <c:axId val="660200639"/>
        <c:axId val="660207711"/>
      </c:barChart>
      <c:catAx>
        <c:axId val="6602006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207711"/>
        <c:crosses val="autoZero"/>
        <c:auto val="1"/>
        <c:lblAlgn val="ctr"/>
        <c:lblOffset val="100"/>
        <c:noMultiLvlLbl val="0"/>
      </c:catAx>
      <c:valAx>
        <c:axId val="66020771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200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FY2022 Infrastructure Investment and Jobs Act Funding</a:t>
            </a:r>
            <a:r>
              <a:rPr lang="en-US" baseline="0"/>
              <a:t> Allocation </a:t>
            </a:r>
          </a:p>
          <a:p>
            <a:pPr>
              <a:defRPr/>
            </a:pPr>
            <a:r>
              <a:rPr lang="en-US" baseline="0"/>
              <a:t>($ in millions)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'Federal (FY14-22)'!$L$5</c:f>
              <c:strCache>
                <c:ptCount val="1"/>
                <c:pt idx="0">
                  <c:v>FY2022 IIJA Allocation</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6C4F-41C8-9301-A2C1D060D1B6}"/>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6C4F-41C8-9301-A2C1D060D1B6}"/>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6C4F-41C8-9301-A2C1D060D1B6}"/>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6C4F-41C8-9301-A2C1D060D1B6}"/>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6C4F-41C8-9301-A2C1D060D1B6}"/>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6C4F-41C8-9301-A2C1D060D1B6}"/>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6C4F-41C8-9301-A2C1D060D1B6}"/>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6C4F-41C8-9301-A2C1D060D1B6}"/>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6C4F-41C8-9301-A2C1D060D1B6}"/>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6C4F-41C8-9301-A2C1D060D1B6}"/>
              </c:ext>
            </c:extLst>
          </c:dPt>
          <c:dPt>
            <c:idx val="1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5-6C4F-41C8-9301-A2C1D060D1B6}"/>
              </c:ext>
            </c:extLst>
          </c:dPt>
          <c:dPt>
            <c:idx val="1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7-6C4F-41C8-9301-A2C1D060D1B6}"/>
              </c:ext>
            </c:extLst>
          </c:dPt>
          <c:dPt>
            <c:idx val="1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9-6C4F-41C8-9301-A2C1D060D1B6}"/>
              </c:ext>
            </c:extLst>
          </c:dPt>
          <c:dPt>
            <c:idx val="1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B-6C4F-41C8-9301-A2C1D060D1B6}"/>
              </c:ext>
            </c:extLst>
          </c:dPt>
          <c:dPt>
            <c:idx val="1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D-6C4F-41C8-9301-A2C1D060D1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('Federal (FY14-22)'!$A$8:$A$17,'Federal (FY14-22)'!$A$19:$A$23)</c:f>
              <c:strCache>
                <c:ptCount val="15"/>
                <c:pt idx="0">
                  <c:v>Program Operations and Support</c:v>
                </c:pt>
                <c:pt idx="1">
                  <c:v>Partnership and Data Management Support</c:v>
                </c:pt>
                <c:pt idx="2">
                  <c:v>Water Quality Monitoring Grants</c:v>
                </c:pt>
                <c:pt idx="3">
                  <c:v>TMDL Implementation and Analysis</c:v>
                </c:pt>
                <c:pt idx="4">
                  <c:v>Reporting and Accountability</c:v>
                </c:pt>
                <c:pt idx="5">
                  <c:v>Permit Review and Rule Development, Guidance and Implementation</c:v>
                </c:pt>
                <c:pt idx="6">
                  <c:v>Enforcement</c:v>
                </c:pt>
                <c:pt idx="7">
                  <c:v>Small Watershed Grants</c:v>
                </c:pt>
                <c:pt idx="8">
                  <c:v>Innovative Nutrient and Sediment Reduction Grants</c:v>
                </c:pt>
                <c:pt idx="9">
                  <c:v>State Implementation Grants (CWA Sec. 117)</c:v>
                </c:pt>
                <c:pt idx="10">
                  <c:v>Non-Point Source Grants (CWA Sec. 319)</c:v>
                </c:pt>
                <c:pt idx="11">
                  <c:v>Pollution Control Grants (CWA Sec. 106)</c:v>
                </c:pt>
                <c:pt idx="12">
                  <c:v>Pollution Control Grants Monitoring (CWA Sec. 106)</c:v>
                </c:pt>
                <c:pt idx="13">
                  <c:v>Infrastructure Assistance Grants: Clean Water SRF</c:v>
                </c:pt>
                <c:pt idx="14">
                  <c:v>Sewer Overflow and Stormwater Reuse Municipal Grants (OSG) program assistance</c:v>
                </c:pt>
              </c:strCache>
            </c:strRef>
          </c:cat>
          <c:val>
            <c:numRef>
              <c:f>('Federal (FY14-22)'!$L$8:$L$17,'Federal (FY14-22)'!$L$19:$L$23)</c:f>
              <c:numCache>
                <c:formatCode>"$"#,##0.0</c:formatCode>
                <c:ptCount val="15"/>
                <c:pt idx="0">
                  <c:v>1.258</c:v>
                </c:pt>
                <c:pt idx="1">
                  <c:v>2.5920000000000001</c:v>
                </c:pt>
                <c:pt idx="2">
                  <c:v>1.75</c:v>
                </c:pt>
                <c:pt idx="3">
                  <c:v>0.5</c:v>
                </c:pt>
                <c:pt idx="4">
                  <c:v>0.5</c:v>
                </c:pt>
                <c:pt idx="5">
                  <c:v>0</c:v>
                </c:pt>
                <c:pt idx="6">
                  <c:v>1</c:v>
                </c:pt>
                <c:pt idx="7">
                  <c:v>15</c:v>
                </c:pt>
                <c:pt idx="8">
                  <c:v>10</c:v>
                </c:pt>
                <c:pt idx="9">
                  <c:v>15</c:v>
                </c:pt>
                <c:pt idx="10">
                  <c:v>0</c:v>
                </c:pt>
                <c:pt idx="11">
                  <c:v>0</c:v>
                </c:pt>
                <c:pt idx="12">
                  <c:v>0</c:v>
                </c:pt>
                <c:pt idx="13">
                  <c:v>142.27600000000001</c:v>
                </c:pt>
                <c:pt idx="14">
                  <c:v>0</c:v>
                </c:pt>
              </c:numCache>
            </c:numRef>
          </c:val>
          <c:extLst>
            <c:ext xmlns:c16="http://schemas.microsoft.com/office/drawing/2014/chart" uri="{C3380CC4-5D6E-409C-BE32-E72D297353CC}">
              <c16:uniqueId val="{00000001-DD8D-4CAC-8227-F90CEFFA9FCA}"/>
            </c:ext>
          </c:extLst>
        </c:ser>
        <c:dLbls>
          <c:showLegendKey val="0"/>
          <c:showVal val="0"/>
          <c:showCatName val="0"/>
          <c:showSerName val="0"/>
          <c:showPercent val="0"/>
          <c:showBubbleSize val="0"/>
        </c:dLbls>
        <c:gapWidth val="90"/>
        <c:axId val="447388448"/>
        <c:axId val="1357806768"/>
      </c:barChart>
      <c:catAx>
        <c:axId val="447388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806768"/>
        <c:crosses val="autoZero"/>
        <c:auto val="1"/>
        <c:lblAlgn val="ctr"/>
        <c:lblOffset val="100"/>
        <c:noMultiLvlLbl val="0"/>
      </c:catAx>
      <c:valAx>
        <c:axId val="1357806768"/>
        <c:scaling>
          <c:orientation val="minMax"/>
          <c:max val="145"/>
          <c:min val="0"/>
        </c:scaling>
        <c:delete val="0"/>
        <c:axPos val="l"/>
        <c:majorGridlines>
          <c:spPr>
            <a:ln w="9525" cap="flat" cmpd="sng" algn="ctr">
              <a:solidFill>
                <a:schemeClr val="tx1">
                  <a:lumMod val="15000"/>
                  <a:lumOff val="85000"/>
                </a:schemeClr>
              </a:solidFill>
              <a:round/>
            </a:ln>
            <a:effectLst/>
          </c:spPr>
        </c:majorGridlines>
        <c:numFmt formatCode="&quot;$&quot;#,##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388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State Spending</a:t>
            </a:r>
            <a:r>
              <a:rPr lang="en-US" baseline="0"/>
              <a:t> for Watershed Restoration (Fiscal Year 2022): Operating Levels Reported in Millions of Dollars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7-3EE3-42FB-994D-25AFC951BD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3EE3-42FB-994D-25AFC951BD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3EE3-42FB-994D-25AFC951BD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3EE3-42FB-994D-25AFC951BD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3-3EE3-42FB-994D-25AFC951BDD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4-3EE3-42FB-994D-25AFC951BDD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3EE3-42FB-994D-25AFC951BDD5}"/>
              </c:ext>
            </c:extLst>
          </c:dPt>
          <c:dLbls>
            <c:dLbl>
              <c:idx val="0"/>
              <c:layout>
                <c:manualLayout>
                  <c:x val="2.9047306688866261E-2"/>
                  <c:y val="-0.1027263569561595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E3-42FB-994D-25AFC951BDD5}"/>
                </c:ext>
              </c:extLst>
            </c:dLbl>
            <c:dLbl>
              <c:idx val="1"/>
              <c:layout>
                <c:manualLayout>
                  <c:x val="0.134391623370027"/>
                  <c:y val="-7.138020054316718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3-42FB-994D-25AFC951BDD5}"/>
                </c:ext>
              </c:extLst>
            </c:dLbl>
            <c:dLbl>
              <c:idx val="2"/>
              <c:layout>
                <c:manualLayout>
                  <c:x val="0.14517939302942684"/>
                  <c:y val="1.462814089684612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E3-42FB-994D-25AFC951BDD5}"/>
                </c:ext>
              </c:extLst>
            </c:dLbl>
            <c:dLbl>
              <c:idx val="3"/>
              <c:layout>
                <c:manualLayout>
                  <c:x val="-5.7025359814276692E-2"/>
                  <c:y val="0.1039356851734515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3-42FB-994D-25AFC951BDD5}"/>
                </c:ext>
              </c:extLst>
            </c:dLbl>
            <c:dLbl>
              <c:idx val="4"/>
              <c:layout>
                <c:manualLayout>
                  <c:x val="-0.15304587833334571"/>
                  <c:y val="3.545151263189539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3-42FB-994D-25AFC951BDD5}"/>
                </c:ext>
              </c:extLst>
            </c:dLbl>
            <c:dLbl>
              <c:idx val="5"/>
              <c:layout>
                <c:manualLayout>
                  <c:x val="-0.13635824469600683"/>
                  <c:y val="-9.971412666520629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3-42FB-994D-25AFC951BDD5}"/>
                </c:ext>
              </c:extLst>
            </c:dLbl>
            <c:dLbl>
              <c:idx val="6"/>
              <c:layout>
                <c:manualLayout>
                  <c:x val="-0.12938912715461179"/>
                  <c:y val="-7.933613161008480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E3-42FB-994D-25AFC951BD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('State (FY14-22)'!$A$5,'State (FY14-22)'!$A$6,'State (FY14-22)'!$A$7,'State (FY14-22)'!$A$8,'State (FY14-22)'!$A$9,'State (FY14-22)'!$A$10,'State (FY14-22)'!$A$11)</c:f>
              <c:strCache>
                <c:ptCount val="7"/>
                <c:pt idx="0">
                  <c:v>Delaware</c:v>
                </c:pt>
                <c:pt idx="1">
                  <c:v>District of Columbia</c:v>
                </c:pt>
                <c:pt idx="2">
                  <c:v>Maryland</c:v>
                </c:pt>
                <c:pt idx="3">
                  <c:v>New York</c:v>
                </c:pt>
                <c:pt idx="4">
                  <c:v>Pennsylvania</c:v>
                </c:pt>
                <c:pt idx="5">
                  <c:v>Virginia</c:v>
                </c:pt>
                <c:pt idx="6">
                  <c:v>West Virginia</c:v>
                </c:pt>
              </c:strCache>
            </c:strRef>
          </c:cat>
          <c:val>
            <c:numRef>
              <c:f>('State (FY14-22)'!$J$5,'State (FY14-22)'!$J$6,'State (FY14-22)'!$J$7,'State (FY14-22)'!$J$8,'State (FY14-22)'!$J$9,'State (FY14-22)'!$J$10,'State (FY14-22)'!$J$11)</c:f>
              <c:numCache>
                <c:formatCode>"$"#,##0.0</c:formatCode>
                <c:ptCount val="7"/>
                <c:pt idx="0">
                  <c:v>4.0999999999999996</c:v>
                </c:pt>
                <c:pt idx="1">
                  <c:v>57.1</c:v>
                </c:pt>
                <c:pt idx="2">
                  <c:v>489.964</c:v>
                </c:pt>
                <c:pt idx="3">
                  <c:v>11.4</c:v>
                </c:pt>
                <c:pt idx="4">
                  <c:v>165.5</c:v>
                </c:pt>
                <c:pt idx="5">
                  <c:v>310.39999999999998</c:v>
                </c:pt>
                <c:pt idx="6">
                  <c:v>7.4</c:v>
                </c:pt>
              </c:numCache>
            </c:numRef>
          </c:val>
          <c:extLst>
            <c:ext xmlns:c16="http://schemas.microsoft.com/office/drawing/2014/chart" uri="{C3380CC4-5D6E-409C-BE32-E72D297353CC}">
              <c16:uniqueId val="{00000000-3EE3-42FB-994D-25AFC951BDD5}"/>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b="1"/>
              <a:t>State Grant Allocations from the U.S. Environmental Protection Agency (Fiscal Year 2016-2022)</a:t>
            </a:r>
          </a:p>
        </c:rich>
      </c:tx>
      <c:layout>
        <c:manualLayout>
          <c:xMode val="edge"/>
          <c:yMode val="edge"/>
          <c:x val="0.19087337492418677"/>
          <c:y val="2.089362075973226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'EPAGrantAllocations (FY16-22)'!$A$6</c:f>
              <c:strCache>
                <c:ptCount val="1"/>
                <c:pt idx="0">
                  <c:v>Chesapeake Bay Implementation Grants (CBIG)</c:v>
                </c:pt>
              </c:strCache>
            </c:strRef>
          </c:tx>
          <c:spPr>
            <a:solidFill>
              <a:schemeClr val="accent1"/>
            </a:solidFill>
            <a:ln>
              <a:noFill/>
            </a:ln>
            <a:effectLst/>
          </c:spPr>
          <c:invertIfNegative val="0"/>
          <c:cat>
            <c:multiLvlStrRef>
              <c:f>'EPAGrantAllocations (FY16-22)'!$B$4:$BH$5</c:f>
              <c:multiLvlStrCache>
                <c:ptCount val="59"/>
                <c:lvl>
                  <c:pt idx="0">
                    <c:v>FY2016</c:v>
                  </c:pt>
                  <c:pt idx="1">
                    <c:v>FY2017</c:v>
                  </c:pt>
                  <c:pt idx="2">
                    <c:v>FY2018</c:v>
                  </c:pt>
                  <c:pt idx="3">
                    <c:v>FY2019</c:v>
                  </c:pt>
                  <c:pt idx="4">
                    <c:v>FY2020</c:v>
                  </c:pt>
                  <c:pt idx="5">
                    <c:v>FY2021</c:v>
                  </c:pt>
                  <c:pt idx="6">
                    <c:v>FY2022</c:v>
                  </c:pt>
                  <c:pt idx="7">
                    <c:v>FY2022 IIJA Allocation4</c:v>
                  </c:pt>
                  <c:pt idx="9">
                    <c:v>FY2016</c:v>
                  </c:pt>
                  <c:pt idx="10">
                    <c:v>FY2017</c:v>
                  </c:pt>
                  <c:pt idx="11">
                    <c:v>FY2018</c:v>
                  </c:pt>
                  <c:pt idx="12">
                    <c:v>FY2019</c:v>
                  </c:pt>
                  <c:pt idx="13">
                    <c:v>FY2020</c:v>
                  </c:pt>
                  <c:pt idx="14">
                    <c:v>FY2021</c:v>
                  </c:pt>
                  <c:pt idx="15">
                    <c:v>FY2022</c:v>
                  </c:pt>
                  <c:pt idx="16">
                    <c:v>FY2022 IIJA Allocation4</c:v>
                  </c:pt>
                  <c:pt idx="18">
                    <c:v>FY2016</c:v>
                  </c:pt>
                  <c:pt idx="19">
                    <c:v>FY2017</c:v>
                  </c:pt>
                  <c:pt idx="20">
                    <c:v>FY2018</c:v>
                  </c:pt>
                  <c:pt idx="21">
                    <c:v>FY2019</c:v>
                  </c:pt>
                  <c:pt idx="22">
                    <c:v>FY2020</c:v>
                  </c:pt>
                  <c:pt idx="23">
                    <c:v>FY2021</c:v>
                  </c:pt>
                  <c:pt idx="24">
                    <c:v>FY2022</c:v>
                  </c:pt>
                  <c:pt idx="25">
                    <c:v>FY2022 IIJA Allocation4</c:v>
                  </c:pt>
                  <c:pt idx="26">
                    <c:v>FY2016</c:v>
                  </c:pt>
                  <c:pt idx="27">
                    <c:v>FY2017</c:v>
                  </c:pt>
                  <c:pt idx="28">
                    <c:v>FY2018</c:v>
                  </c:pt>
                  <c:pt idx="29">
                    <c:v>FY2019</c:v>
                  </c:pt>
                  <c:pt idx="30">
                    <c:v>FY2020</c:v>
                  </c:pt>
                  <c:pt idx="31">
                    <c:v>FY2021</c:v>
                  </c:pt>
                  <c:pt idx="32">
                    <c:v>FY2022</c:v>
                  </c:pt>
                  <c:pt idx="33">
                    <c:v>FY2022 IIJA Allocation4</c:v>
                  </c:pt>
                  <c:pt idx="35">
                    <c:v>FY2016</c:v>
                  </c:pt>
                  <c:pt idx="36">
                    <c:v>FY2017</c:v>
                  </c:pt>
                  <c:pt idx="37">
                    <c:v>FY2018</c:v>
                  </c:pt>
                  <c:pt idx="38">
                    <c:v>FY2019</c:v>
                  </c:pt>
                  <c:pt idx="39">
                    <c:v>FY2020</c:v>
                  </c:pt>
                  <c:pt idx="40">
                    <c:v>FY2021</c:v>
                  </c:pt>
                  <c:pt idx="41">
                    <c:v>FY2022</c:v>
                  </c:pt>
                  <c:pt idx="42">
                    <c:v>FY2022 IIJA Allocation4</c:v>
                  </c:pt>
                  <c:pt idx="43">
                    <c:v>FY2016</c:v>
                  </c:pt>
                  <c:pt idx="44">
                    <c:v>FY2017</c:v>
                  </c:pt>
                  <c:pt idx="45">
                    <c:v>FY2018</c:v>
                  </c:pt>
                  <c:pt idx="46">
                    <c:v>FY2019</c:v>
                  </c:pt>
                  <c:pt idx="47">
                    <c:v>FY2020</c:v>
                  </c:pt>
                  <c:pt idx="48">
                    <c:v>FY2021</c:v>
                  </c:pt>
                  <c:pt idx="49">
                    <c:v>FY2022</c:v>
                  </c:pt>
                  <c:pt idx="50">
                    <c:v>FY2022 IIJA Allocation4</c:v>
                  </c:pt>
                  <c:pt idx="51">
                    <c:v>FY2016</c:v>
                  </c:pt>
                  <c:pt idx="52">
                    <c:v>FY2017</c:v>
                  </c:pt>
                  <c:pt idx="53">
                    <c:v>FY2018</c:v>
                  </c:pt>
                  <c:pt idx="54">
                    <c:v>FY2019</c:v>
                  </c:pt>
                  <c:pt idx="55">
                    <c:v>FY2020</c:v>
                  </c:pt>
                  <c:pt idx="56">
                    <c:v>FY2021</c:v>
                  </c:pt>
                  <c:pt idx="57">
                    <c:v>FY2022</c:v>
                  </c:pt>
                  <c:pt idx="58">
                    <c:v>FY2022 IIJA4 Allocation</c:v>
                  </c:pt>
                </c:lvl>
                <c:lvl>
                  <c:pt idx="0">
                    <c:v>Delaware</c:v>
                  </c:pt>
                  <c:pt idx="9">
                    <c:v>District of Columbia</c:v>
                  </c:pt>
                  <c:pt idx="18">
                    <c:v>Maryland</c:v>
                  </c:pt>
                  <c:pt idx="26">
                    <c:v>New York</c:v>
                  </c:pt>
                  <c:pt idx="35">
                    <c:v>Pennsylvania</c:v>
                  </c:pt>
                  <c:pt idx="43">
                    <c:v>Virginia</c:v>
                  </c:pt>
                  <c:pt idx="51">
                    <c:v>West Virginia</c:v>
                  </c:pt>
                </c:lvl>
              </c:multiLvlStrCache>
            </c:multiLvlStrRef>
          </c:cat>
          <c:val>
            <c:numRef>
              <c:f>'EPAGrantAllocations (FY16-22)'!$B$6:$BH$6</c:f>
              <c:numCache>
                <c:formatCode>_("$"* #,##0_);_("$"* \(#,##0\);_("$"* "-"??_);_(@_)</c:formatCode>
                <c:ptCount val="59"/>
                <c:pt idx="0">
                  <c:v>1250000</c:v>
                </c:pt>
                <c:pt idx="1">
                  <c:v>1250000</c:v>
                </c:pt>
                <c:pt idx="2">
                  <c:v>1287500</c:v>
                </c:pt>
                <c:pt idx="3">
                  <c:v>1250000</c:v>
                </c:pt>
                <c:pt idx="4">
                  <c:v>1250000</c:v>
                </c:pt>
                <c:pt idx="5">
                  <c:v>1250000</c:v>
                </c:pt>
                <c:pt idx="6">
                  <c:v>1250000</c:v>
                </c:pt>
                <c:pt idx="7" formatCode="&quot;$&quot;#,##0.0">
                  <c:v>0</c:v>
                </c:pt>
                <c:pt idx="9">
                  <c:v>1282500</c:v>
                </c:pt>
                <c:pt idx="10">
                  <c:v>1250000</c:v>
                </c:pt>
                <c:pt idx="11">
                  <c:v>1250000</c:v>
                </c:pt>
                <c:pt idx="12">
                  <c:v>1250000</c:v>
                </c:pt>
                <c:pt idx="13">
                  <c:v>1250000</c:v>
                </c:pt>
                <c:pt idx="14">
                  <c:v>1250000</c:v>
                </c:pt>
                <c:pt idx="15">
                  <c:v>1250000</c:v>
                </c:pt>
                <c:pt idx="16">
                  <c:v>0</c:v>
                </c:pt>
                <c:pt idx="18">
                  <c:v>2765700</c:v>
                </c:pt>
                <c:pt idx="19">
                  <c:v>2712700</c:v>
                </c:pt>
                <c:pt idx="20">
                  <c:v>2975108</c:v>
                </c:pt>
                <c:pt idx="21">
                  <c:v>2953208</c:v>
                </c:pt>
                <c:pt idx="22">
                  <c:v>2633543</c:v>
                </c:pt>
                <c:pt idx="23">
                  <c:v>2632283</c:v>
                </c:pt>
                <c:pt idx="24" formatCode="&quot;$&quot;#,##0">
                  <c:v>2651327</c:v>
                </c:pt>
                <c:pt idx="26">
                  <c:v>1250000</c:v>
                </c:pt>
                <c:pt idx="27">
                  <c:v>1250000</c:v>
                </c:pt>
                <c:pt idx="28">
                  <c:v>1250000</c:v>
                </c:pt>
                <c:pt idx="29">
                  <c:v>1241209</c:v>
                </c:pt>
                <c:pt idx="30">
                  <c:v>1234176</c:v>
                </c:pt>
                <c:pt idx="31">
                  <c:v>1234176</c:v>
                </c:pt>
                <c:pt idx="32">
                  <c:v>1235691</c:v>
                </c:pt>
                <c:pt idx="35">
                  <c:v>2515700</c:v>
                </c:pt>
                <c:pt idx="36">
                  <c:v>2515700</c:v>
                </c:pt>
                <c:pt idx="37">
                  <c:v>186429</c:v>
                </c:pt>
                <c:pt idx="38">
                  <c:v>2072813</c:v>
                </c:pt>
                <c:pt idx="39">
                  <c:v>6200228</c:v>
                </c:pt>
                <c:pt idx="40">
                  <c:v>2352019</c:v>
                </c:pt>
                <c:pt idx="41">
                  <c:v>2367691</c:v>
                </c:pt>
                <c:pt idx="43">
                  <c:v>2418599</c:v>
                </c:pt>
                <c:pt idx="44">
                  <c:v>2515700</c:v>
                </c:pt>
                <c:pt idx="45">
                  <c:v>2515700</c:v>
                </c:pt>
                <c:pt idx="46">
                  <c:v>2630700</c:v>
                </c:pt>
                <c:pt idx="47">
                  <c:v>2622476</c:v>
                </c:pt>
                <c:pt idx="48">
                  <c:v>2515700</c:v>
                </c:pt>
                <c:pt idx="49">
                  <c:v>2397272</c:v>
                </c:pt>
                <c:pt idx="50">
                  <c:v>0</c:v>
                </c:pt>
                <c:pt idx="51">
                  <c:v>1250000</c:v>
                </c:pt>
                <c:pt idx="52">
                  <c:v>1250000</c:v>
                </c:pt>
                <c:pt idx="53">
                  <c:v>1250000</c:v>
                </c:pt>
                <c:pt idx="54">
                  <c:v>1244780</c:v>
                </c:pt>
                <c:pt idx="55">
                  <c:v>1240604</c:v>
                </c:pt>
                <c:pt idx="56">
                  <c:v>1240604</c:v>
                </c:pt>
                <c:pt idx="57">
                  <c:v>1312004</c:v>
                </c:pt>
                <c:pt idx="58">
                  <c:v>0</c:v>
                </c:pt>
              </c:numCache>
            </c:numRef>
          </c:val>
          <c:extLst>
            <c:ext xmlns:c16="http://schemas.microsoft.com/office/drawing/2014/chart" uri="{C3380CC4-5D6E-409C-BE32-E72D297353CC}">
              <c16:uniqueId val="{00000000-F397-0547-9D5F-5636D8A74024}"/>
            </c:ext>
          </c:extLst>
        </c:ser>
        <c:ser>
          <c:idx val="1"/>
          <c:order val="1"/>
          <c:tx>
            <c:strRef>
              <c:f>'EPAGrantAllocations (FY16-22)'!$A$7</c:f>
              <c:strCache>
                <c:ptCount val="1"/>
                <c:pt idx="0">
                  <c:v>Chesapeake Bay Restoration and Protection (CBRAP)</c:v>
                </c:pt>
              </c:strCache>
            </c:strRef>
          </c:tx>
          <c:spPr>
            <a:solidFill>
              <a:schemeClr val="accent2"/>
            </a:solidFill>
            <a:ln>
              <a:noFill/>
            </a:ln>
            <a:effectLst/>
          </c:spPr>
          <c:invertIfNegative val="0"/>
          <c:cat>
            <c:multiLvlStrRef>
              <c:f>'EPAGrantAllocations (FY16-22)'!$B$4:$BH$5</c:f>
              <c:multiLvlStrCache>
                <c:ptCount val="59"/>
                <c:lvl>
                  <c:pt idx="0">
                    <c:v>FY2016</c:v>
                  </c:pt>
                  <c:pt idx="1">
                    <c:v>FY2017</c:v>
                  </c:pt>
                  <c:pt idx="2">
                    <c:v>FY2018</c:v>
                  </c:pt>
                  <c:pt idx="3">
                    <c:v>FY2019</c:v>
                  </c:pt>
                  <c:pt idx="4">
                    <c:v>FY2020</c:v>
                  </c:pt>
                  <c:pt idx="5">
                    <c:v>FY2021</c:v>
                  </c:pt>
                  <c:pt idx="6">
                    <c:v>FY2022</c:v>
                  </c:pt>
                  <c:pt idx="7">
                    <c:v>FY2022 IIJA Allocation4</c:v>
                  </c:pt>
                  <c:pt idx="9">
                    <c:v>FY2016</c:v>
                  </c:pt>
                  <c:pt idx="10">
                    <c:v>FY2017</c:v>
                  </c:pt>
                  <c:pt idx="11">
                    <c:v>FY2018</c:v>
                  </c:pt>
                  <c:pt idx="12">
                    <c:v>FY2019</c:v>
                  </c:pt>
                  <c:pt idx="13">
                    <c:v>FY2020</c:v>
                  </c:pt>
                  <c:pt idx="14">
                    <c:v>FY2021</c:v>
                  </c:pt>
                  <c:pt idx="15">
                    <c:v>FY2022</c:v>
                  </c:pt>
                  <c:pt idx="16">
                    <c:v>FY2022 IIJA Allocation4</c:v>
                  </c:pt>
                  <c:pt idx="18">
                    <c:v>FY2016</c:v>
                  </c:pt>
                  <c:pt idx="19">
                    <c:v>FY2017</c:v>
                  </c:pt>
                  <c:pt idx="20">
                    <c:v>FY2018</c:v>
                  </c:pt>
                  <c:pt idx="21">
                    <c:v>FY2019</c:v>
                  </c:pt>
                  <c:pt idx="22">
                    <c:v>FY2020</c:v>
                  </c:pt>
                  <c:pt idx="23">
                    <c:v>FY2021</c:v>
                  </c:pt>
                  <c:pt idx="24">
                    <c:v>FY2022</c:v>
                  </c:pt>
                  <c:pt idx="25">
                    <c:v>FY2022 IIJA Allocation4</c:v>
                  </c:pt>
                  <c:pt idx="26">
                    <c:v>FY2016</c:v>
                  </c:pt>
                  <c:pt idx="27">
                    <c:v>FY2017</c:v>
                  </c:pt>
                  <c:pt idx="28">
                    <c:v>FY2018</c:v>
                  </c:pt>
                  <c:pt idx="29">
                    <c:v>FY2019</c:v>
                  </c:pt>
                  <c:pt idx="30">
                    <c:v>FY2020</c:v>
                  </c:pt>
                  <c:pt idx="31">
                    <c:v>FY2021</c:v>
                  </c:pt>
                  <c:pt idx="32">
                    <c:v>FY2022</c:v>
                  </c:pt>
                  <c:pt idx="33">
                    <c:v>FY2022 IIJA Allocation4</c:v>
                  </c:pt>
                  <c:pt idx="35">
                    <c:v>FY2016</c:v>
                  </c:pt>
                  <c:pt idx="36">
                    <c:v>FY2017</c:v>
                  </c:pt>
                  <c:pt idx="37">
                    <c:v>FY2018</c:v>
                  </c:pt>
                  <c:pt idx="38">
                    <c:v>FY2019</c:v>
                  </c:pt>
                  <c:pt idx="39">
                    <c:v>FY2020</c:v>
                  </c:pt>
                  <c:pt idx="40">
                    <c:v>FY2021</c:v>
                  </c:pt>
                  <c:pt idx="41">
                    <c:v>FY2022</c:v>
                  </c:pt>
                  <c:pt idx="42">
                    <c:v>FY2022 IIJA Allocation4</c:v>
                  </c:pt>
                  <c:pt idx="43">
                    <c:v>FY2016</c:v>
                  </c:pt>
                  <c:pt idx="44">
                    <c:v>FY2017</c:v>
                  </c:pt>
                  <c:pt idx="45">
                    <c:v>FY2018</c:v>
                  </c:pt>
                  <c:pt idx="46">
                    <c:v>FY2019</c:v>
                  </c:pt>
                  <c:pt idx="47">
                    <c:v>FY2020</c:v>
                  </c:pt>
                  <c:pt idx="48">
                    <c:v>FY2021</c:v>
                  </c:pt>
                  <c:pt idx="49">
                    <c:v>FY2022</c:v>
                  </c:pt>
                  <c:pt idx="50">
                    <c:v>FY2022 IIJA Allocation4</c:v>
                  </c:pt>
                  <c:pt idx="51">
                    <c:v>FY2016</c:v>
                  </c:pt>
                  <c:pt idx="52">
                    <c:v>FY2017</c:v>
                  </c:pt>
                  <c:pt idx="53">
                    <c:v>FY2018</c:v>
                  </c:pt>
                  <c:pt idx="54">
                    <c:v>FY2019</c:v>
                  </c:pt>
                  <c:pt idx="55">
                    <c:v>FY2020</c:v>
                  </c:pt>
                  <c:pt idx="56">
                    <c:v>FY2021</c:v>
                  </c:pt>
                  <c:pt idx="57">
                    <c:v>FY2022</c:v>
                  </c:pt>
                  <c:pt idx="58">
                    <c:v>FY2022 IIJA4 Allocation</c:v>
                  </c:pt>
                </c:lvl>
                <c:lvl>
                  <c:pt idx="0">
                    <c:v>Delaware</c:v>
                  </c:pt>
                  <c:pt idx="9">
                    <c:v>District of Columbia</c:v>
                  </c:pt>
                  <c:pt idx="18">
                    <c:v>Maryland</c:v>
                  </c:pt>
                  <c:pt idx="26">
                    <c:v>New York</c:v>
                  </c:pt>
                  <c:pt idx="35">
                    <c:v>Pennsylvania</c:v>
                  </c:pt>
                  <c:pt idx="43">
                    <c:v>Virginia</c:v>
                  </c:pt>
                  <c:pt idx="51">
                    <c:v>West Virginia</c:v>
                  </c:pt>
                </c:lvl>
              </c:multiLvlStrCache>
            </c:multiLvlStrRef>
          </c:cat>
          <c:val>
            <c:numRef>
              <c:f>'EPAGrantAllocations (FY16-22)'!$B$7:$BH$7</c:f>
              <c:numCache>
                <c:formatCode>_("$"* #,##0_);_("$"* \(#,##0\);_("$"* "-"??_);_(@_)</c:formatCode>
                <c:ptCount val="59"/>
                <c:pt idx="0">
                  <c:v>820465</c:v>
                </c:pt>
                <c:pt idx="1">
                  <c:v>820465</c:v>
                </c:pt>
                <c:pt idx="2">
                  <c:v>820465</c:v>
                </c:pt>
                <c:pt idx="3">
                  <c:v>811674</c:v>
                </c:pt>
                <c:pt idx="4">
                  <c:v>789777</c:v>
                </c:pt>
                <c:pt idx="5">
                  <c:v>774913</c:v>
                </c:pt>
                <c:pt idx="6">
                  <c:v>761564</c:v>
                </c:pt>
                <c:pt idx="7">
                  <c:v>0</c:v>
                </c:pt>
                <c:pt idx="9">
                  <c:v>723036</c:v>
                </c:pt>
                <c:pt idx="10">
                  <c:v>723036</c:v>
                </c:pt>
                <c:pt idx="11">
                  <c:v>723036</c:v>
                </c:pt>
                <c:pt idx="12">
                  <c:v>723036</c:v>
                </c:pt>
                <c:pt idx="13">
                  <c:v>724758</c:v>
                </c:pt>
                <c:pt idx="14">
                  <c:v>726481</c:v>
                </c:pt>
                <c:pt idx="15">
                  <c:v>728203</c:v>
                </c:pt>
                <c:pt idx="16">
                  <c:v>0</c:v>
                </c:pt>
                <c:pt idx="18">
                  <c:v>2758047</c:v>
                </c:pt>
                <c:pt idx="19">
                  <c:v>2758047</c:v>
                </c:pt>
                <c:pt idx="20">
                  <c:v>2758047</c:v>
                </c:pt>
                <c:pt idx="21">
                  <c:v>2758047</c:v>
                </c:pt>
                <c:pt idx="22">
                  <c:v>2686520</c:v>
                </c:pt>
                <c:pt idx="23">
                  <c:v>2614992</c:v>
                </c:pt>
                <c:pt idx="24">
                  <c:v>2543465</c:v>
                </c:pt>
                <c:pt idx="26">
                  <c:v>1007224</c:v>
                </c:pt>
                <c:pt idx="27">
                  <c:v>1007224</c:v>
                </c:pt>
                <c:pt idx="28">
                  <c:v>1007204</c:v>
                </c:pt>
                <c:pt idx="29">
                  <c:v>1007204</c:v>
                </c:pt>
                <c:pt idx="30">
                  <c:v>963443</c:v>
                </c:pt>
                <c:pt idx="31">
                  <c:v>919663</c:v>
                </c:pt>
                <c:pt idx="32">
                  <c:v>875882</c:v>
                </c:pt>
                <c:pt idx="35">
                  <c:v>2666819</c:v>
                </c:pt>
                <c:pt idx="36">
                  <c:v>2666819</c:v>
                </c:pt>
                <c:pt idx="37">
                  <c:v>1382280</c:v>
                </c:pt>
                <c:pt idx="38">
                  <c:v>2899718</c:v>
                </c:pt>
                <c:pt idx="39">
                  <c:v>2666819</c:v>
                </c:pt>
                <c:pt idx="40">
                  <c:v>3163237</c:v>
                </c:pt>
                <c:pt idx="41">
                  <c:v>3411446</c:v>
                </c:pt>
                <c:pt idx="43">
                  <c:v>2649199</c:v>
                </c:pt>
                <c:pt idx="44">
                  <c:v>2552098</c:v>
                </c:pt>
                <c:pt idx="45">
                  <c:v>2552098</c:v>
                </c:pt>
                <c:pt idx="46">
                  <c:v>2399186</c:v>
                </c:pt>
                <c:pt idx="47">
                  <c:v>2259346</c:v>
                </c:pt>
                <c:pt idx="48">
                  <c:v>2248388</c:v>
                </c:pt>
                <c:pt idx="49">
                  <c:v>2255616</c:v>
                </c:pt>
                <c:pt idx="50">
                  <c:v>0</c:v>
                </c:pt>
                <c:pt idx="51">
                  <c:v>672311</c:v>
                </c:pt>
                <c:pt idx="52">
                  <c:v>672311</c:v>
                </c:pt>
                <c:pt idx="53">
                  <c:v>672311</c:v>
                </c:pt>
                <c:pt idx="54">
                  <c:v>672311</c:v>
                </c:pt>
                <c:pt idx="55">
                  <c:v>670286</c:v>
                </c:pt>
                <c:pt idx="56">
                  <c:v>668260</c:v>
                </c:pt>
                <c:pt idx="57">
                  <c:v>595735</c:v>
                </c:pt>
                <c:pt idx="58">
                  <c:v>0</c:v>
                </c:pt>
              </c:numCache>
            </c:numRef>
          </c:val>
          <c:extLst>
            <c:ext xmlns:c16="http://schemas.microsoft.com/office/drawing/2014/chart" uri="{C3380CC4-5D6E-409C-BE32-E72D297353CC}">
              <c16:uniqueId val="{00000001-F397-0547-9D5F-5636D8A74024}"/>
            </c:ext>
          </c:extLst>
        </c:ser>
        <c:ser>
          <c:idx val="2"/>
          <c:order val="2"/>
          <c:tx>
            <c:strRef>
              <c:f>'EPAGrantAllocations (FY16-22)'!$A$8</c:f>
              <c:strCache>
                <c:ptCount val="1"/>
                <c:pt idx="0">
                  <c:v>Local Government Implementation (LGI) 2</c:v>
                </c:pt>
              </c:strCache>
            </c:strRef>
          </c:tx>
          <c:spPr>
            <a:solidFill>
              <a:schemeClr val="accent3"/>
            </a:solidFill>
            <a:ln>
              <a:noFill/>
            </a:ln>
            <a:effectLst/>
          </c:spPr>
          <c:invertIfNegative val="0"/>
          <c:cat>
            <c:multiLvlStrRef>
              <c:f>'EPAGrantAllocations (FY16-22)'!$B$4:$BH$5</c:f>
              <c:multiLvlStrCache>
                <c:ptCount val="59"/>
                <c:lvl>
                  <c:pt idx="0">
                    <c:v>FY2016</c:v>
                  </c:pt>
                  <c:pt idx="1">
                    <c:v>FY2017</c:v>
                  </c:pt>
                  <c:pt idx="2">
                    <c:v>FY2018</c:v>
                  </c:pt>
                  <c:pt idx="3">
                    <c:v>FY2019</c:v>
                  </c:pt>
                  <c:pt idx="4">
                    <c:v>FY2020</c:v>
                  </c:pt>
                  <c:pt idx="5">
                    <c:v>FY2021</c:v>
                  </c:pt>
                  <c:pt idx="6">
                    <c:v>FY2022</c:v>
                  </c:pt>
                  <c:pt idx="7">
                    <c:v>FY2022 IIJA Allocation4</c:v>
                  </c:pt>
                  <c:pt idx="9">
                    <c:v>FY2016</c:v>
                  </c:pt>
                  <c:pt idx="10">
                    <c:v>FY2017</c:v>
                  </c:pt>
                  <c:pt idx="11">
                    <c:v>FY2018</c:v>
                  </c:pt>
                  <c:pt idx="12">
                    <c:v>FY2019</c:v>
                  </c:pt>
                  <c:pt idx="13">
                    <c:v>FY2020</c:v>
                  </c:pt>
                  <c:pt idx="14">
                    <c:v>FY2021</c:v>
                  </c:pt>
                  <c:pt idx="15">
                    <c:v>FY2022</c:v>
                  </c:pt>
                  <c:pt idx="16">
                    <c:v>FY2022 IIJA Allocation4</c:v>
                  </c:pt>
                  <c:pt idx="18">
                    <c:v>FY2016</c:v>
                  </c:pt>
                  <c:pt idx="19">
                    <c:v>FY2017</c:v>
                  </c:pt>
                  <c:pt idx="20">
                    <c:v>FY2018</c:v>
                  </c:pt>
                  <c:pt idx="21">
                    <c:v>FY2019</c:v>
                  </c:pt>
                  <c:pt idx="22">
                    <c:v>FY2020</c:v>
                  </c:pt>
                  <c:pt idx="23">
                    <c:v>FY2021</c:v>
                  </c:pt>
                  <c:pt idx="24">
                    <c:v>FY2022</c:v>
                  </c:pt>
                  <c:pt idx="25">
                    <c:v>FY2022 IIJA Allocation4</c:v>
                  </c:pt>
                  <c:pt idx="26">
                    <c:v>FY2016</c:v>
                  </c:pt>
                  <c:pt idx="27">
                    <c:v>FY2017</c:v>
                  </c:pt>
                  <c:pt idx="28">
                    <c:v>FY2018</c:v>
                  </c:pt>
                  <c:pt idx="29">
                    <c:v>FY2019</c:v>
                  </c:pt>
                  <c:pt idx="30">
                    <c:v>FY2020</c:v>
                  </c:pt>
                  <c:pt idx="31">
                    <c:v>FY2021</c:v>
                  </c:pt>
                  <c:pt idx="32">
                    <c:v>FY2022</c:v>
                  </c:pt>
                  <c:pt idx="33">
                    <c:v>FY2022 IIJA Allocation4</c:v>
                  </c:pt>
                  <c:pt idx="35">
                    <c:v>FY2016</c:v>
                  </c:pt>
                  <c:pt idx="36">
                    <c:v>FY2017</c:v>
                  </c:pt>
                  <c:pt idx="37">
                    <c:v>FY2018</c:v>
                  </c:pt>
                  <c:pt idx="38">
                    <c:v>FY2019</c:v>
                  </c:pt>
                  <c:pt idx="39">
                    <c:v>FY2020</c:v>
                  </c:pt>
                  <c:pt idx="40">
                    <c:v>FY2021</c:v>
                  </c:pt>
                  <c:pt idx="41">
                    <c:v>FY2022</c:v>
                  </c:pt>
                  <c:pt idx="42">
                    <c:v>FY2022 IIJA Allocation4</c:v>
                  </c:pt>
                  <c:pt idx="43">
                    <c:v>FY2016</c:v>
                  </c:pt>
                  <c:pt idx="44">
                    <c:v>FY2017</c:v>
                  </c:pt>
                  <c:pt idx="45">
                    <c:v>FY2018</c:v>
                  </c:pt>
                  <c:pt idx="46">
                    <c:v>FY2019</c:v>
                  </c:pt>
                  <c:pt idx="47">
                    <c:v>FY2020</c:v>
                  </c:pt>
                  <c:pt idx="48">
                    <c:v>FY2021</c:v>
                  </c:pt>
                  <c:pt idx="49">
                    <c:v>FY2022</c:v>
                  </c:pt>
                  <c:pt idx="50">
                    <c:v>FY2022 IIJA Allocation4</c:v>
                  </c:pt>
                  <c:pt idx="51">
                    <c:v>FY2016</c:v>
                  </c:pt>
                  <c:pt idx="52">
                    <c:v>FY2017</c:v>
                  </c:pt>
                  <c:pt idx="53">
                    <c:v>FY2018</c:v>
                  </c:pt>
                  <c:pt idx="54">
                    <c:v>FY2019</c:v>
                  </c:pt>
                  <c:pt idx="55">
                    <c:v>FY2020</c:v>
                  </c:pt>
                  <c:pt idx="56">
                    <c:v>FY2021</c:v>
                  </c:pt>
                  <c:pt idx="57">
                    <c:v>FY2022</c:v>
                  </c:pt>
                  <c:pt idx="58">
                    <c:v>FY2022 IIJA4 Allocation</c:v>
                  </c:pt>
                </c:lvl>
                <c:lvl>
                  <c:pt idx="0">
                    <c:v>Delaware</c:v>
                  </c:pt>
                  <c:pt idx="9">
                    <c:v>District of Columbia</c:v>
                  </c:pt>
                  <c:pt idx="18">
                    <c:v>Maryland</c:v>
                  </c:pt>
                  <c:pt idx="26">
                    <c:v>New York</c:v>
                  </c:pt>
                  <c:pt idx="35">
                    <c:v>Pennsylvania</c:v>
                  </c:pt>
                  <c:pt idx="43">
                    <c:v>Virginia</c:v>
                  </c:pt>
                  <c:pt idx="51">
                    <c:v>West Virginia</c:v>
                  </c:pt>
                </c:lvl>
              </c:multiLvlStrCache>
            </c:multiLvlStrRef>
          </c:cat>
          <c:val>
            <c:numRef>
              <c:f>'EPAGrantAllocations (FY16-22)'!$B$8:$BH$8</c:f>
              <c:numCache>
                <c:formatCode>_("$"* #,##0_);_("$"* \(#,##0\);_("$"* "-"??_);_(@_)</c:formatCode>
                <c:ptCount val="59"/>
                <c:pt idx="0">
                  <c:v>366000</c:v>
                </c:pt>
                <c:pt idx="1">
                  <c:v>366000</c:v>
                </c:pt>
                <c:pt idx="2">
                  <c:v>366000</c:v>
                </c:pt>
                <c:pt idx="3">
                  <c:v>366000</c:v>
                </c:pt>
                <c:pt idx="4">
                  <c:v>366000</c:v>
                </c:pt>
                <c:pt idx="5">
                  <c:v>366000</c:v>
                </c:pt>
                <c:pt idx="6">
                  <c:v>366000</c:v>
                </c:pt>
                <c:pt idx="9">
                  <c:v>322784</c:v>
                </c:pt>
                <c:pt idx="10">
                  <c:v>322784</c:v>
                </c:pt>
                <c:pt idx="11">
                  <c:v>322784</c:v>
                </c:pt>
                <c:pt idx="12">
                  <c:v>322784</c:v>
                </c:pt>
                <c:pt idx="13">
                  <c:v>322784</c:v>
                </c:pt>
                <c:pt idx="14">
                  <c:v>322784</c:v>
                </c:pt>
                <c:pt idx="15">
                  <c:v>322784</c:v>
                </c:pt>
                <c:pt idx="16">
                  <c:v>0</c:v>
                </c:pt>
                <c:pt idx="18">
                  <c:v>1231270</c:v>
                </c:pt>
                <c:pt idx="19">
                  <c:v>1231270</c:v>
                </c:pt>
                <c:pt idx="20">
                  <c:v>1231270</c:v>
                </c:pt>
                <c:pt idx="21">
                  <c:v>1231270</c:v>
                </c:pt>
                <c:pt idx="22">
                  <c:v>1231270</c:v>
                </c:pt>
                <c:pt idx="23">
                  <c:v>1231270</c:v>
                </c:pt>
                <c:pt idx="24">
                  <c:v>1231270</c:v>
                </c:pt>
                <c:pt idx="26">
                  <c:v>449654</c:v>
                </c:pt>
                <c:pt idx="27">
                  <c:v>449654</c:v>
                </c:pt>
                <c:pt idx="28">
                  <c:v>449654</c:v>
                </c:pt>
                <c:pt idx="29">
                  <c:v>449654</c:v>
                </c:pt>
                <c:pt idx="30">
                  <c:v>449654</c:v>
                </c:pt>
                <c:pt idx="31">
                  <c:v>449654</c:v>
                </c:pt>
                <c:pt idx="32">
                  <c:v>449654</c:v>
                </c:pt>
                <c:pt idx="35">
                  <c:v>1190544</c:v>
                </c:pt>
                <c:pt idx="36">
                  <c:v>1190544</c:v>
                </c:pt>
                <c:pt idx="37">
                  <c:v>0</c:v>
                </c:pt>
                <c:pt idx="38">
                  <c:v>0</c:v>
                </c:pt>
                <c:pt idx="39">
                  <c:v>0</c:v>
                </c:pt>
                <c:pt idx="40">
                  <c:v>0</c:v>
                </c:pt>
                <c:pt idx="41">
                  <c:v>0</c:v>
                </c:pt>
                <c:pt idx="43">
                  <c:v>1139329</c:v>
                </c:pt>
                <c:pt idx="44">
                  <c:v>1139329</c:v>
                </c:pt>
                <c:pt idx="45">
                  <c:v>1139329</c:v>
                </c:pt>
                <c:pt idx="46">
                  <c:v>1139329</c:v>
                </c:pt>
                <c:pt idx="47">
                  <c:v>1139329</c:v>
                </c:pt>
                <c:pt idx="48">
                  <c:v>1139329</c:v>
                </c:pt>
                <c:pt idx="49">
                  <c:v>1139329</c:v>
                </c:pt>
                <c:pt idx="50">
                  <c:v>0</c:v>
                </c:pt>
                <c:pt idx="51">
                  <c:v>300139</c:v>
                </c:pt>
                <c:pt idx="52">
                  <c:v>300139</c:v>
                </c:pt>
                <c:pt idx="53">
                  <c:v>300139</c:v>
                </c:pt>
                <c:pt idx="54">
                  <c:v>300139</c:v>
                </c:pt>
                <c:pt idx="55">
                  <c:v>300139</c:v>
                </c:pt>
                <c:pt idx="56">
                  <c:v>300139</c:v>
                </c:pt>
                <c:pt idx="57">
                  <c:v>300139</c:v>
                </c:pt>
                <c:pt idx="58">
                  <c:v>0</c:v>
                </c:pt>
              </c:numCache>
            </c:numRef>
          </c:val>
          <c:extLst>
            <c:ext xmlns:c16="http://schemas.microsoft.com/office/drawing/2014/chart" uri="{C3380CC4-5D6E-409C-BE32-E72D297353CC}">
              <c16:uniqueId val="{00000002-F397-0547-9D5F-5636D8A74024}"/>
            </c:ext>
          </c:extLst>
        </c:ser>
        <c:ser>
          <c:idx val="3"/>
          <c:order val="3"/>
          <c:tx>
            <c:strRef>
              <c:f>'EPAGrantAllocations (FY16-22)'!$A$9</c:f>
              <c:strCache>
                <c:ptCount val="1"/>
                <c:pt idx="0">
                  <c:v>WIP Assistance</c:v>
                </c:pt>
              </c:strCache>
            </c:strRef>
          </c:tx>
          <c:spPr>
            <a:solidFill>
              <a:schemeClr val="accent4"/>
            </a:solidFill>
            <a:ln>
              <a:noFill/>
            </a:ln>
            <a:effectLst/>
          </c:spPr>
          <c:invertIfNegative val="0"/>
          <c:cat>
            <c:multiLvlStrRef>
              <c:f>'EPAGrantAllocations (FY16-22)'!$B$4:$BH$5</c:f>
              <c:multiLvlStrCache>
                <c:ptCount val="59"/>
                <c:lvl>
                  <c:pt idx="0">
                    <c:v>FY2016</c:v>
                  </c:pt>
                  <c:pt idx="1">
                    <c:v>FY2017</c:v>
                  </c:pt>
                  <c:pt idx="2">
                    <c:v>FY2018</c:v>
                  </c:pt>
                  <c:pt idx="3">
                    <c:v>FY2019</c:v>
                  </c:pt>
                  <c:pt idx="4">
                    <c:v>FY2020</c:v>
                  </c:pt>
                  <c:pt idx="5">
                    <c:v>FY2021</c:v>
                  </c:pt>
                  <c:pt idx="6">
                    <c:v>FY2022</c:v>
                  </c:pt>
                  <c:pt idx="7">
                    <c:v>FY2022 IIJA Allocation4</c:v>
                  </c:pt>
                  <c:pt idx="9">
                    <c:v>FY2016</c:v>
                  </c:pt>
                  <c:pt idx="10">
                    <c:v>FY2017</c:v>
                  </c:pt>
                  <c:pt idx="11">
                    <c:v>FY2018</c:v>
                  </c:pt>
                  <c:pt idx="12">
                    <c:v>FY2019</c:v>
                  </c:pt>
                  <c:pt idx="13">
                    <c:v>FY2020</c:v>
                  </c:pt>
                  <c:pt idx="14">
                    <c:v>FY2021</c:v>
                  </c:pt>
                  <c:pt idx="15">
                    <c:v>FY2022</c:v>
                  </c:pt>
                  <c:pt idx="16">
                    <c:v>FY2022 IIJA Allocation4</c:v>
                  </c:pt>
                  <c:pt idx="18">
                    <c:v>FY2016</c:v>
                  </c:pt>
                  <c:pt idx="19">
                    <c:v>FY2017</c:v>
                  </c:pt>
                  <c:pt idx="20">
                    <c:v>FY2018</c:v>
                  </c:pt>
                  <c:pt idx="21">
                    <c:v>FY2019</c:v>
                  </c:pt>
                  <c:pt idx="22">
                    <c:v>FY2020</c:v>
                  </c:pt>
                  <c:pt idx="23">
                    <c:v>FY2021</c:v>
                  </c:pt>
                  <c:pt idx="24">
                    <c:v>FY2022</c:v>
                  </c:pt>
                  <c:pt idx="25">
                    <c:v>FY2022 IIJA Allocation4</c:v>
                  </c:pt>
                  <c:pt idx="26">
                    <c:v>FY2016</c:v>
                  </c:pt>
                  <c:pt idx="27">
                    <c:v>FY2017</c:v>
                  </c:pt>
                  <c:pt idx="28">
                    <c:v>FY2018</c:v>
                  </c:pt>
                  <c:pt idx="29">
                    <c:v>FY2019</c:v>
                  </c:pt>
                  <c:pt idx="30">
                    <c:v>FY2020</c:v>
                  </c:pt>
                  <c:pt idx="31">
                    <c:v>FY2021</c:v>
                  </c:pt>
                  <c:pt idx="32">
                    <c:v>FY2022</c:v>
                  </c:pt>
                  <c:pt idx="33">
                    <c:v>FY2022 IIJA Allocation4</c:v>
                  </c:pt>
                  <c:pt idx="35">
                    <c:v>FY2016</c:v>
                  </c:pt>
                  <c:pt idx="36">
                    <c:v>FY2017</c:v>
                  </c:pt>
                  <c:pt idx="37">
                    <c:v>FY2018</c:v>
                  </c:pt>
                  <c:pt idx="38">
                    <c:v>FY2019</c:v>
                  </c:pt>
                  <c:pt idx="39">
                    <c:v>FY2020</c:v>
                  </c:pt>
                  <c:pt idx="40">
                    <c:v>FY2021</c:v>
                  </c:pt>
                  <c:pt idx="41">
                    <c:v>FY2022</c:v>
                  </c:pt>
                  <c:pt idx="42">
                    <c:v>FY2022 IIJA Allocation4</c:v>
                  </c:pt>
                  <c:pt idx="43">
                    <c:v>FY2016</c:v>
                  </c:pt>
                  <c:pt idx="44">
                    <c:v>FY2017</c:v>
                  </c:pt>
                  <c:pt idx="45">
                    <c:v>FY2018</c:v>
                  </c:pt>
                  <c:pt idx="46">
                    <c:v>FY2019</c:v>
                  </c:pt>
                  <c:pt idx="47">
                    <c:v>FY2020</c:v>
                  </c:pt>
                  <c:pt idx="48">
                    <c:v>FY2021</c:v>
                  </c:pt>
                  <c:pt idx="49">
                    <c:v>FY2022</c:v>
                  </c:pt>
                  <c:pt idx="50">
                    <c:v>FY2022 IIJA Allocation4</c:v>
                  </c:pt>
                  <c:pt idx="51">
                    <c:v>FY2016</c:v>
                  </c:pt>
                  <c:pt idx="52">
                    <c:v>FY2017</c:v>
                  </c:pt>
                  <c:pt idx="53">
                    <c:v>FY2018</c:v>
                  </c:pt>
                  <c:pt idx="54">
                    <c:v>FY2019</c:v>
                  </c:pt>
                  <c:pt idx="55">
                    <c:v>FY2020</c:v>
                  </c:pt>
                  <c:pt idx="56">
                    <c:v>FY2021</c:v>
                  </c:pt>
                  <c:pt idx="57">
                    <c:v>FY2022</c:v>
                  </c:pt>
                  <c:pt idx="58">
                    <c:v>FY2022 IIJA4 Allocation</c:v>
                  </c:pt>
                </c:lvl>
                <c:lvl>
                  <c:pt idx="0">
                    <c:v>Delaware</c:v>
                  </c:pt>
                  <c:pt idx="9">
                    <c:v>District of Columbia</c:v>
                  </c:pt>
                  <c:pt idx="18">
                    <c:v>Maryland</c:v>
                  </c:pt>
                  <c:pt idx="26">
                    <c:v>New York</c:v>
                  </c:pt>
                  <c:pt idx="35">
                    <c:v>Pennsylvania</c:v>
                  </c:pt>
                  <c:pt idx="43">
                    <c:v>Virginia</c:v>
                  </c:pt>
                  <c:pt idx="51">
                    <c:v>West Virginia</c:v>
                  </c:pt>
                </c:lvl>
              </c:multiLvlStrCache>
            </c:multiLvlStrRef>
          </c:cat>
          <c:val>
            <c:numRef>
              <c:f>'EPAGrantAllocations (FY16-22)'!$B$9:$BH$9</c:f>
              <c:numCache>
                <c:formatCode>_("$"* #,##0_);_("$"* \(#,##0\);_("$"* "-"??_);_(@_)</c:formatCode>
                <c:ptCount val="59"/>
                <c:pt idx="0">
                  <c:v>66800</c:v>
                </c:pt>
                <c:pt idx="1">
                  <c:v>70000</c:v>
                </c:pt>
                <c:pt idx="2">
                  <c:v>50000</c:v>
                </c:pt>
                <c:pt idx="3">
                  <c:v>0</c:v>
                </c:pt>
                <c:pt idx="4">
                  <c:v>0</c:v>
                </c:pt>
                <c:pt idx="5">
                  <c:v>0</c:v>
                </c:pt>
                <c:pt idx="6">
                  <c:v>0</c:v>
                </c:pt>
                <c:pt idx="9">
                  <c:v>50000</c:v>
                </c:pt>
                <c:pt idx="10">
                  <c:v>45000</c:v>
                </c:pt>
                <c:pt idx="11">
                  <c:v>80000</c:v>
                </c:pt>
                <c:pt idx="12">
                  <c:v>85000</c:v>
                </c:pt>
                <c:pt idx="13">
                  <c:v>100000</c:v>
                </c:pt>
                <c:pt idx="14">
                  <c:v>0</c:v>
                </c:pt>
                <c:pt idx="15">
                  <c:v>0</c:v>
                </c:pt>
                <c:pt idx="16">
                  <c:v>0</c:v>
                </c:pt>
                <c:pt idx="18">
                  <c:v>96239</c:v>
                </c:pt>
                <c:pt idx="19">
                  <c:v>75800</c:v>
                </c:pt>
                <c:pt idx="20">
                  <c:v>96274</c:v>
                </c:pt>
                <c:pt idx="21">
                  <c:v>0</c:v>
                </c:pt>
                <c:pt idx="22">
                  <c:v>53643</c:v>
                </c:pt>
                <c:pt idx="23">
                  <c:v>0</c:v>
                </c:pt>
                <c:pt idx="24">
                  <c:v>0</c:v>
                </c:pt>
                <c:pt idx="26">
                  <c:v>40000</c:v>
                </c:pt>
                <c:pt idx="27">
                  <c:v>10000</c:v>
                </c:pt>
                <c:pt idx="28">
                  <c:v>0</c:v>
                </c:pt>
                <c:pt idx="29">
                  <c:v>0</c:v>
                </c:pt>
                <c:pt idx="30">
                  <c:v>60000</c:v>
                </c:pt>
                <c:pt idx="31">
                  <c:v>0</c:v>
                </c:pt>
                <c:pt idx="32">
                  <c:v>0</c:v>
                </c:pt>
                <c:pt idx="35">
                  <c:v>160000</c:v>
                </c:pt>
                <c:pt idx="36">
                  <c:v>0</c:v>
                </c:pt>
                <c:pt idx="37">
                  <c:v>175000</c:v>
                </c:pt>
                <c:pt idx="38">
                  <c:v>0</c:v>
                </c:pt>
                <c:pt idx="39">
                  <c:v>0</c:v>
                </c:pt>
                <c:pt idx="40">
                  <c:v>0</c:v>
                </c:pt>
                <c:pt idx="41">
                  <c:v>0</c:v>
                </c:pt>
                <c:pt idx="43">
                  <c:v>90000</c:v>
                </c:pt>
                <c:pt idx="44">
                  <c:v>160000</c:v>
                </c:pt>
                <c:pt idx="45">
                  <c:v>100000</c:v>
                </c:pt>
                <c:pt idx="46">
                  <c:v>125000</c:v>
                </c:pt>
                <c:pt idx="47">
                  <c:v>125000</c:v>
                </c:pt>
                <c:pt idx="48">
                  <c:v>0</c:v>
                </c:pt>
                <c:pt idx="49">
                  <c:v>0</c:v>
                </c:pt>
                <c:pt idx="50">
                  <c:v>0</c:v>
                </c:pt>
                <c:pt idx="51">
                  <c:v>0</c:v>
                </c:pt>
                <c:pt idx="52">
                  <c:v>16000</c:v>
                </c:pt>
                <c:pt idx="53">
                  <c:v>0</c:v>
                </c:pt>
                <c:pt idx="54">
                  <c:v>0</c:v>
                </c:pt>
                <c:pt idx="55">
                  <c:v>96170</c:v>
                </c:pt>
                <c:pt idx="56">
                  <c:v>0</c:v>
                </c:pt>
                <c:pt idx="57">
                  <c:v>0</c:v>
                </c:pt>
                <c:pt idx="58">
                  <c:v>0</c:v>
                </c:pt>
              </c:numCache>
            </c:numRef>
          </c:val>
          <c:extLst>
            <c:ext xmlns:c16="http://schemas.microsoft.com/office/drawing/2014/chart" uri="{C3380CC4-5D6E-409C-BE32-E72D297353CC}">
              <c16:uniqueId val="{00000003-F397-0547-9D5F-5636D8A74024}"/>
            </c:ext>
          </c:extLst>
        </c:ser>
        <c:ser>
          <c:idx val="4"/>
          <c:order val="4"/>
          <c:tx>
            <c:strRef>
              <c:f>'EPAGrantAllocations (FY16-22)'!$A$10</c:f>
              <c:strCache>
                <c:ptCount val="1"/>
                <c:pt idx="0">
                  <c:v>Most Effective Basins (MEB)3</c:v>
                </c:pt>
              </c:strCache>
            </c:strRef>
          </c:tx>
          <c:spPr>
            <a:solidFill>
              <a:schemeClr val="accent5"/>
            </a:solidFill>
            <a:ln>
              <a:noFill/>
            </a:ln>
            <a:effectLst/>
          </c:spPr>
          <c:invertIfNegative val="0"/>
          <c:cat>
            <c:multiLvlStrRef>
              <c:f>'EPAGrantAllocations (FY16-22)'!$B$4:$BH$5</c:f>
              <c:multiLvlStrCache>
                <c:ptCount val="59"/>
                <c:lvl>
                  <c:pt idx="0">
                    <c:v>FY2016</c:v>
                  </c:pt>
                  <c:pt idx="1">
                    <c:v>FY2017</c:v>
                  </c:pt>
                  <c:pt idx="2">
                    <c:v>FY2018</c:v>
                  </c:pt>
                  <c:pt idx="3">
                    <c:v>FY2019</c:v>
                  </c:pt>
                  <c:pt idx="4">
                    <c:v>FY2020</c:v>
                  </c:pt>
                  <c:pt idx="5">
                    <c:v>FY2021</c:v>
                  </c:pt>
                  <c:pt idx="6">
                    <c:v>FY2022</c:v>
                  </c:pt>
                  <c:pt idx="7">
                    <c:v>FY2022 IIJA Allocation4</c:v>
                  </c:pt>
                  <c:pt idx="9">
                    <c:v>FY2016</c:v>
                  </c:pt>
                  <c:pt idx="10">
                    <c:v>FY2017</c:v>
                  </c:pt>
                  <c:pt idx="11">
                    <c:v>FY2018</c:v>
                  </c:pt>
                  <c:pt idx="12">
                    <c:v>FY2019</c:v>
                  </c:pt>
                  <c:pt idx="13">
                    <c:v>FY2020</c:v>
                  </c:pt>
                  <c:pt idx="14">
                    <c:v>FY2021</c:v>
                  </c:pt>
                  <c:pt idx="15">
                    <c:v>FY2022</c:v>
                  </c:pt>
                  <c:pt idx="16">
                    <c:v>FY2022 IIJA Allocation4</c:v>
                  </c:pt>
                  <c:pt idx="18">
                    <c:v>FY2016</c:v>
                  </c:pt>
                  <c:pt idx="19">
                    <c:v>FY2017</c:v>
                  </c:pt>
                  <c:pt idx="20">
                    <c:v>FY2018</c:v>
                  </c:pt>
                  <c:pt idx="21">
                    <c:v>FY2019</c:v>
                  </c:pt>
                  <c:pt idx="22">
                    <c:v>FY2020</c:v>
                  </c:pt>
                  <c:pt idx="23">
                    <c:v>FY2021</c:v>
                  </c:pt>
                  <c:pt idx="24">
                    <c:v>FY2022</c:v>
                  </c:pt>
                  <c:pt idx="25">
                    <c:v>FY2022 IIJA Allocation4</c:v>
                  </c:pt>
                  <c:pt idx="26">
                    <c:v>FY2016</c:v>
                  </c:pt>
                  <c:pt idx="27">
                    <c:v>FY2017</c:v>
                  </c:pt>
                  <c:pt idx="28">
                    <c:v>FY2018</c:v>
                  </c:pt>
                  <c:pt idx="29">
                    <c:v>FY2019</c:v>
                  </c:pt>
                  <c:pt idx="30">
                    <c:v>FY2020</c:v>
                  </c:pt>
                  <c:pt idx="31">
                    <c:v>FY2021</c:v>
                  </c:pt>
                  <c:pt idx="32">
                    <c:v>FY2022</c:v>
                  </c:pt>
                  <c:pt idx="33">
                    <c:v>FY2022 IIJA Allocation4</c:v>
                  </c:pt>
                  <c:pt idx="35">
                    <c:v>FY2016</c:v>
                  </c:pt>
                  <c:pt idx="36">
                    <c:v>FY2017</c:v>
                  </c:pt>
                  <c:pt idx="37">
                    <c:v>FY2018</c:v>
                  </c:pt>
                  <c:pt idx="38">
                    <c:v>FY2019</c:v>
                  </c:pt>
                  <c:pt idx="39">
                    <c:v>FY2020</c:v>
                  </c:pt>
                  <c:pt idx="40">
                    <c:v>FY2021</c:v>
                  </c:pt>
                  <c:pt idx="41">
                    <c:v>FY2022</c:v>
                  </c:pt>
                  <c:pt idx="42">
                    <c:v>FY2022 IIJA Allocation4</c:v>
                  </c:pt>
                  <c:pt idx="43">
                    <c:v>FY2016</c:v>
                  </c:pt>
                  <c:pt idx="44">
                    <c:v>FY2017</c:v>
                  </c:pt>
                  <c:pt idx="45">
                    <c:v>FY2018</c:v>
                  </c:pt>
                  <c:pt idx="46">
                    <c:v>FY2019</c:v>
                  </c:pt>
                  <c:pt idx="47">
                    <c:v>FY2020</c:v>
                  </c:pt>
                  <c:pt idx="48">
                    <c:v>FY2021</c:v>
                  </c:pt>
                  <c:pt idx="49">
                    <c:v>FY2022</c:v>
                  </c:pt>
                  <c:pt idx="50">
                    <c:v>FY2022 IIJA Allocation4</c:v>
                  </c:pt>
                  <c:pt idx="51">
                    <c:v>FY2016</c:v>
                  </c:pt>
                  <c:pt idx="52">
                    <c:v>FY2017</c:v>
                  </c:pt>
                  <c:pt idx="53">
                    <c:v>FY2018</c:v>
                  </c:pt>
                  <c:pt idx="54">
                    <c:v>FY2019</c:v>
                  </c:pt>
                  <c:pt idx="55">
                    <c:v>FY2020</c:v>
                  </c:pt>
                  <c:pt idx="56">
                    <c:v>FY2021</c:v>
                  </c:pt>
                  <c:pt idx="57">
                    <c:v>FY2022</c:v>
                  </c:pt>
                  <c:pt idx="58">
                    <c:v>FY2022 IIJA4 Allocation</c:v>
                  </c:pt>
                </c:lvl>
                <c:lvl>
                  <c:pt idx="0">
                    <c:v>Delaware</c:v>
                  </c:pt>
                  <c:pt idx="9">
                    <c:v>District of Columbia</c:v>
                  </c:pt>
                  <c:pt idx="18">
                    <c:v>Maryland</c:v>
                  </c:pt>
                  <c:pt idx="26">
                    <c:v>New York</c:v>
                  </c:pt>
                  <c:pt idx="35">
                    <c:v>Pennsylvania</c:v>
                  </c:pt>
                  <c:pt idx="43">
                    <c:v>Virginia</c:v>
                  </c:pt>
                  <c:pt idx="51">
                    <c:v>West Virginia</c:v>
                  </c:pt>
                </c:lvl>
              </c:multiLvlStrCache>
            </c:multiLvlStrRef>
          </c:cat>
          <c:val>
            <c:numRef>
              <c:f>'EPAGrantAllocations (FY16-22)'!$B$10:$BH$10</c:f>
              <c:numCache>
                <c:formatCode>_("$"* #,##0_);_("$"* \(#,##0\);_("$"* "-"??_);_(@_)</c:formatCode>
                <c:ptCount val="59"/>
                <c:pt idx="4">
                  <c:v>364540</c:v>
                </c:pt>
                <c:pt idx="5">
                  <c:v>489540</c:v>
                </c:pt>
                <c:pt idx="6">
                  <c:v>489540</c:v>
                </c:pt>
                <c:pt idx="7">
                  <c:v>750000</c:v>
                </c:pt>
                <c:pt idx="13">
                  <c:v>0</c:v>
                </c:pt>
                <c:pt idx="14">
                  <c:v>125000</c:v>
                </c:pt>
                <c:pt idx="15">
                  <c:v>125000</c:v>
                </c:pt>
                <c:pt idx="16">
                  <c:v>500000</c:v>
                </c:pt>
                <c:pt idx="21">
                  <c:v>0</c:v>
                </c:pt>
                <c:pt idx="22">
                  <c:v>695940</c:v>
                </c:pt>
                <c:pt idx="23">
                  <c:v>945940</c:v>
                </c:pt>
                <c:pt idx="24">
                  <c:v>945940</c:v>
                </c:pt>
                <c:pt idx="25">
                  <c:v>3212158</c:v>
                </c:pt>
                <c:pt idx="30">
                  <c:v>79536</c:v>
                </c:pt>
                <c:pt idx="31">
                  <c:v>204536</c:v>
                </c:pt>
                <c:pt idx="32">
                  <c:v>204536</c:v>
                </c:pt>
                <c:pt idx="33">
                  <c:v>1289758</c:v>
                </c:pt>
                <c:pt idx="39">
                  <c:v>300000</c:v>
                </c:pt>
                <c:pt idx="40">
                  <c:v>550000</c:v>
                </c:pt>
                <c:pt idx="41">
                  <c:v>250000</c:v>
                </c:pt>
                <c:pt idx="42">
                  <c:v>5598333</c:v>
                </c:pt>
                <c:pt idx="47">
                  <c:v>1110191</c:v>
                </c:pt>
                <c:pt idx="48">
                  <c:v>1360191</c:v>
                </c:pt>
                <c:pt idx="49">
                  <c:v>1360191</c:v>
                </c:pt>
                <c:pt idx="50">
                  <c:v>3149751</c:v>
                </c:pt>
                <c:pt idx="55">
                  <c:v>54681</c:v>
                </c:pt>
                <c:pt idx="56">
                  <c:v>179681</c:v>
                </c:pt>
                <c:pt idx="57">
                  <c:v>179681</c:v>
                </c:pt>
                <c:pt idx="58">
                  <c:v>500000</c:v>
                </c:pt>
              </c:numCache>
            </c:numRef>
          </c:val>
          <c:extLst>
            <c:ext xmlns:c16="http://schemas.microsoft.com/office/drawing/2014/chart" uri="{C3380CC4-5D6E-409C-BE32-E72D297353CC}">
              <c16:uniqueId val="{00000004-F397-0547-9D5F-5636D8A74024}"/>
            </c:ext>
          </c:extLst>
        </c:ser>
        <c:ser>
          <c:idx val="5"/>
          <c:order val="5"/>
          <c:tx>
            <c:strRef>
              <c:f>'EPAGrantAllocations (FY16-22)'!$A$11</c:f>
              <c:strCache>
                <c:ptCount val="1"/>
                <c:pt idx="0">
                  <c:v>Monitoring</c:v>
                </c:pt>
              </c:strCache>
            </c:strRef>
          </c:tx>
          <c:spPr>
            <a:solidFill>
              <a:schemeClr val="accent6"/>
            </a:solidFill>
            <a:ln>
              <a:noFill/>
            </a:ln>
            <a:effectLst/>
          </c:spPr>
          <c:invertIfNegative val="0"/>
          <c:cat>
            <c:multiLvlStrRef>
              <c:f>'EPAGrantAllocations (FY16-22)'!$B$4:$BH$5</c:f>
              <c:multiLvlStrCache>
                <c:ptCount val="59"/>
                <c:lvl>
                  <c:pt idx="0">
                    <c:v>FY2016</c:v>
                  </c:pt>
                  <c:pt idx="1">
                    <c:v>FY2017</c:v>
                  </c:pt>
                  <c:pt idx="2">
                    <c:v>FY2018</c:v>
                  </c:pt>
                  <c:pt idx="3">
                    <c:v>FY2019</c:v>
                  </c:pt>
                  <c:pt idx="4">
                    <c:v>FY2020</c:v>
                  </c:pt>
                  <c:pt idx="5">
                    <c:v>FY2021</c:v>
                  </c:pt>
                  <c:pt idx="6">
                    <c:v>FY2022</c:v>
                  </c:pt>
                  <c:pt idx="7">
                    <c:v>FY2022 IIJA Allocation4</c:v>
                  </c:pt>
                  <c:pt idx="9">
                    <c:v>FY2016</c:v>
                  </c:pt>
                  <c:pt idx="10">
                    <c:v>FY2017</c:v>
                  </c:pt>
                  <c:pt idx="11">
                    <c:v>FY2018</c:v>
                  </c:pt>
                  <c:pt idx="12">
                    <c:v>FY2019</c:v>
                  </c:pt>
                  <c:pt idx="13">
                    <c:v>FY2020</c:v>
                  </c:pt>
                  <c:pt idx="14">
                    <c:v>FY2021</c:v>
                  </c:pt>
                  <c:pt idx="15">
                    <c:v>FY2022</c:v>
                  </c:pt>
                  <c:pt idx="16">
                    <c:v>FY2022 IIJA Allocation4</c:v>
                  </c:pt>
                  <c:pt idx="18">
                    <c:v>FY2016</c:v>
                  </c:pt>
                  <c:pt idx="19">
                    <c:v>FY2017</c:v>
                  </c:pt>
                  <c:pt idx="20">
                    <c:v>FY2018</c:v>
                  </c:pt>
                  <c:pt idx="21">
                    <c:v>FY2019</c:v>
                  </c:pt>
                  <c:pt idx="22">
                    <c:v>FY2020</c:v>
                  </c:pt>
                  <c:pt idx="23">
                    <c:v>FY2021</c:v>
                  </c:pt>
                  <c:pt idx="24">
                    <c:v>FY2022</c:v>
                  </c:pt>
                  <c:pt idx="25">
                    <c:v>FY2022 IIJA Allocation4</c:v>
                  </c:pt>
                  <c:pt idx="26">
                    <c:v>FY2016</c:v>
                  </c:pt>
                  <c:pt idx="27">
                    <c:v>FY2017</c:v>
                  </c:pt>
                  <c:pt idx="28">
                    <c:v>FY2018</c:v>
                  </c:pt>
                  <c:pt idx="29">
                    <c:v>FY2019</c:v>
                  </c:pt>
                  <c:pt idx="30">
                    <c:v>FY2020</c:v>
                  </c:pt>
                  <c:pt idx="31">
                    <c:v>FY2021</c:v>
                  </c:pt>
                  <c:pt idx="32">
                    <c:v>FY2022</c:v>
                  </c:pt>
                  <c:pt idx="33">
                    <c:v>FY2022 IIJA Allocation4</c:v>
                  </c:pt>
                  <c:pt idx="35">
                    <c:v>FY2016</c:v>
                  </c:pt>
                  <c:pt idx="36">
                    <c:v>FY2017</c:v>
                  </c:pt>
                  <c:pt idx="37">
                    <c:v>FY2018</c:v>
                  </c:pt>
                  <c:pt idx="38">
                    <c:v>FY2019</c:v>
                  </c:pt>
                  <c:pt idx="39">
                    <c:v>FY2020</c:v>
                  </c:pt>
                  <c:pt idx="40">
                    <c:v>FY2021</c:v>
                  </c:pt>
                  <c:pt idx="41">
                    <c:v>FY2022</c:v>
                  </c:pt>
                  <c:pt idx="42">
                    <c:v>FY2022 IIJA Allocation4</c:v>
                  </c:pt>
                  <c:pt idx="43">
                    <c:v>FY2016</c:v>
                  </c:pt>
                  <c:pt idx="44">
                    <c:v>FY2017</c:v>
                  </c:pt>
                  <c:pt idx="45">
                    <c:v>FY2018</c:v>
                  </c:pt>
                  <c:pt idx="46">
                    <c:v>FY2019</c:v>
                  </c:pt>
                  <c:pt idx="47">
                    <c:v>FY2020</c:v>
                  </c:pt>
                  <c:pt idx="48">
                    <c:v>FY2021</c:v>
                  </c:pt>
                  <c:pt idx="49">
                    <c:v>FY2022</c:v>
                  </c:pt>
                  <c:pt idx="50">
                    <c:v>FY2022 IIJA Allocation4</c:v>
                  </c:pt>
                  <c:pt idx="51">
                    <c:v>FY2016</c:v>
                  </c:pt>
                  <c:pt idx="52">
                    <c:v>FY2017</c:v>
                  </c:pt>
                  <c:pt idx="53">
                    <c:v>FY2018</c:v>
                  </c:pt>
                  <c:pt idx="54">
                    <c:v>FY2019</c:v>
                  </c:pt>
                  <c:pt idx="55">
                    <c:v>FY2020</c:v>
                  </c:pt>
                  <c:pt idx="56">
                    <c:v>FY2021</c:v>
                  </c:pt>
                  <c:pt idx="57">
                    <c:v>FY2022</c:v>
                  </c:pt>
                  <c:pt idx="58">
                    <c:v>FY2022 IIJA4 Allocation</c:v>
                  </c:pt>
                </c:lvl>
                <c:lvl>
                  <c:pt idx="0">
                    <c:v>Delaware</c:v>
                  </c:pt>
                  <c:pt idx="9">
                    <c:v>District of Columbia</c:v>
                  </c:pt>
                  <c:pt idx="18">
                    <c:v>Maryland</c:v>
                  </c:pt>
                  <c:pt idx="26">
                    <c:v>New York</c:v>
                  </c:pt>
                  <c:pt idx="35">
                    <c:v>Pennsylvania</c:v>
                  </c:pt>
                  <c:pt idx="43">
                    <c:v>Virginia</c:v>
                  </c:pt>
                  <c:pt idx="51">
                    <c:v>West Virginia</c:v>
                  </c:pt>
                </c:lvl>
              </c:multiLvlStrCache>
            </c:multiLvlStrRef>
          </c:cat>
          <c:val>
            <c:numRef>
              <c:f>'EPAGrantAllocations (FY16-22)'!$B$11:$BH$11</c:f>
              <c:numCache>
                <c:formatCode>_("$"* #,##0_);_("$"* \(#,##0\);_("$"* "-"??_);_(@_)</c:formatCode>
                <c:ptCount val="59"/>
                <c:pt idx="0">
                  <c:v>0</c:v>
                </c:pt>
                <c:pt idx="1">
                  <c:v>0</c:v>
                </c:pt>
                <c:pt idx="2">
                  <c:v>0</c:v>
                </c:pt>
                <c:pt idx="3">
                  <c:v>0</c:v>
                </c:pt>
                <c:pt idx="5">
                  <c:v>0</c:v>
                </c:pt>
                <c:pt idx="6">
                  <c:v>0</c:v>
                </c:pt>
                <c:pt idx="9">
                  <c:v>0</c:v>
                </c:pt>
                <c:pt idx="10">
                  <c:v>0</c:v>
                </c:pt>
                <c:pt idx="11">
                  <c:v>0</c:v>
                </c:pt>
                <c:pt idx="12">
                  <c:v>240000</c:v>
                </c:pt>
                <c:pt idx="13">
                  <c:v>0</c:v>
                </c:pt>
                <c:pt idx="14">
                  <c:v>0</c:v>
                </c:pt>
                <c:pt idx="15">
                  <c:v>0</c:v>
                </c:pt>
                <c:pt idx="16">
                  <c:v>0</c:v>
                </c:pt>
                <c:pt idx="18">
                  <c:v>1686966</c:v>
                </c:pt>
                <c:pt idx="19">
                  <c:v>1686966</c:v>
                </c:pt>
                <c:pt idx="20">
                  <c:v>1741552</c:v>
                </c:pt>
                <c:pt idx="21">
                  <c:v>1686966</c:v>
                </c:pt>
                <c:pt idx="22">
                  <c:v>1686966</c:v>
                </c:pt>
                <c:pt idx="23">
                  <c:v>1686966</c:v>
                </c:pt>
                <c:pt idx="24">
                  <c:v>1786966</c:v>
                </c:pt>
                <c:pt idx="26">
                  <c:v>0</c:v>
                </c:pt>
                <c:pt idx="27">
                  <c:v>0</c:v>
                </c:pt>
                <c:pt idx="28">
                  <c:v>0</c:v>
                </c:pt>
                <c:pt idx="29">
                  <c:v>0</c:v>
                </c:pt>
                <c:pt idx="30">
                  <c:v>0</c:v>
                </c:pt>
                <c:pt idx="31">
                  <c:v>0</c:v>
                </c:pt>
                <c:pt idx="32">
                  <c:v>0</c:v>
                </c:pt>
                <c:pt idx="35">
                  <c:v>471325</c:v>
                </c:pt>
                <c:pt idx="36">
                  <c:v>471325</c:v>
                </c:pt>
                <c:pt idx="37">
                  <c:v>471325</c:v>
                </c:pt>
                <c:pt idx="38">
                  <c:v>471325</c:v>
                </c:pt>
                <c:pt idx="39">
                  <c:v>471325</c:v>
                </c:pt>
                <c:pt idx="40">
                  <c:v>471325</c:v>
                </c:pt>
                <c:pt idx="41">
                  <c:v>571325</c:v>
                </c:pt>
                <c:pt idx="43">
                  <c:v>1360184</c:v>
                </c:pt>
                <c:pt idx="44">
                  <c:v>1360184</c:v>
                </c:pt>
                <c:pt idx="45">
                  <c:v>1360184</c:v>
                </c:pt>
                <c:pt idx="46">
                  <c:v>1392214</c:v>
                </c:pt>
                <c:pt idx="47">
                  <c:v>1392214</c:v>
                </c:pt>
                <c:pt idx="48">
                  <c:v>1392214</c:v>
                </c:pt>
                <c:pt idx="49">
                  <c:v>1513214</c:v>
                </c:pt>
                <c:pt idx="50">
                  <c:v>0</c:v>
                </c:pt>
                <c:pt idx="51">
                  <c:v>209667</c:v>
                </c:pt>
                <c:pt idx="52">
                  <c:v>209667</c:v>
                </c:pt>
                <c:pt idx="53">
                  <c:v>225667</c:v>
                </c:pt>
                <c:pt idx="54">
                  <c:v>225667</c:v>
                </c:pt>
                <c:pt idx="55">
                  <c:v>209667</c:v>
                </c:pt>
                <c:pt idx="56">
                  <c:v>209667</c:v>
                </c:pt>
                <c:pt idx="57">
                  <c:v>209667</c:v>
                </c:pt>
              </c:numCache>
            </c:numRef>
          </c:val>
          <c:extLst>
            <c:ext xmlns:c16="http://schemas.microsoft.com/office/drawing/2014/chart" uri="{C3380CC4-5D6E-409C-BE32-E72D297353CC}">
              <c16:uniqueId val="{00000005-F397-0547-9D5F-5636D8A74024}"/>
            </c:ext>
          </c:extLst>
        </c:ser>
        <c:ser>
          <c:idx val="6"/>
          <c:order val="6"/>
          <c:tx>
            <c:strRef>
              <c:f>'EPAGrantAllocations (FY16-22)'!$A$12</c:f>
              <c:strCache>
                <c:ptCount val="1"/>
                <c:pt idx="0">
                  <c:v>Other1</c:v>
                </c:pt>
              </c:strCache>
            </c:strRef>
          </c:tx>
          <c:spPr>
            <a:solidFill>
              <a:schemeClr val="accent1">
                <a:lumMod val="60000"/>
              </a:schemeClr>
            </a:solidFill>
            <a:ln>
              <a:noFill/>
            </a:ln>
            <a:effectLst/>
          </c:spPr>
          <c:invertIfNegative val="0"/>
          <c:cat>
            <c:multiLvlStrRef>
              <c:f>'EPAGrantAllocations (FY16-22)'!$B$4:$BH$5</c:f>
              <c:multiLvlStrCache>
                <c:ptCount val="59"/>
                <c:lvl>
                  <c:pt idx="0">
                    <c:v>FY2016</c:v>
                  </c:pt>
                  <c:pt idx="1">
                    <c:v>FY2017</c:v>
                  </c:pt>
                  <c:pt idx="2">
                    <c:v>FY2018</c:v>
                  </c:pt>
                  <c:pt idx="3">
                    <c:v>FY2019</c:v>
                  </c:pt>
                  <c:pt idx="4">
                    <c:v>FY2020</c:v>
                  </c:pt>
                  <c:pt idx="5">
                    <c:v>FY2021</c:v>
                  </c:pt>
                  <c:pt idx="6">
                    <c:v>FY2022</c:v>
                  </c:pt>
                  <c:pt idx="7">
                    <c:v>FY2022 IIJA Allocation4</c:v>
                  </c:pt>
                  <c:pt idx="9">
                    <c:v>FY2016</c:v>
                  </c:pt>
                  <c:pt idx="10">
                    <c:v>FY2017</c:v>
                  </c:pt>
                  <c:pt idx="11">
                    <c:v>FY2018</c:v>
                  </c:pt>
                  <c:pt idx="12">
                    <c:v>FY2019</c:v>
                  </c:pt>
                  <c:pt idx="13">
                    <c:v>FY2020</c:v>
                  </c:pt>
                  <c:pt idx="14">
                    <c:v>FY2021</c:v>
                  </c:pt>
                  <c:pt idx="15">
                    <c:v>FY2022</c:v>
                  </c:pt>
                  <c:pt idx="16">
                    <c:v>FY2022 IIJA Allocation4</c:v>
                  </c:pt>
                  <c:pt idx="18">
                    <c:v>FY2016</c:v>
                  </c:pt>
                  <c:pt idx="19">
                    <c:v>FY2017</c:v>
                  </c:pt>
                  <c:pt idx="20">
                    <c:v>FY2018</c:v>
                  </c:pt>
                  <c:pt idx="21">
                    <c:v>FY2019</c:v>
                  </c:pt>
                  <c:pt idx="22">
                    <c:v>FY2020</c:v>
                  </c:pt>
                  <c:pt idx="23">
                    <c:v>FY2021</c:v>
                  </c:pt>
                  <c:pt idx="24">
                    <c:v>FY2022</c:v>
                  </c:pt>
                  <c:pt idx="25">
                    <c:v>FY2022 IIJA Allocation4</c:v>
                  </c:pt>
                  <c:pt idx="26">
                    <c:v>FY2016</c:v>
                  </c:pt>
                  <c:pt idx="27">
                    <c:v>FY2017</c:v>
                  </c:pt>
                  <c:pt idx="28">
                    <c:v>FY2018</c:v>
                  </c:pt>
                  <c:pt idx="29">
                    <c:v>FY2019</c:v>
                  </c:pt>
                  <c:pt idx="30">
                    <c:v>FY2020</c:v>
                  </c:pt>
                  <c:pt idx="31">
                    <c:v>FY2021</c:v>
                  </c:pt>
                  <c:pt idx="32">
                    <c:v>FY2022</c:v>
                  </c:pt>
                  <c:pt idx="33">
                    <c:v>FY2022 IIJA Allocation4</c:v>
                  </c:pt>
                  <c:pt idx="35">
                    <c:v>FY2016</c:v>
                  </c:pt>
                  <c:pt idx="36">
                    <c:v>FY2017</c:v>
                  </c:pt>
                  <c:pt idx="37">
                    <c:v>FY2018</c:v>
                  </c:pt>
                  <c:pt idx="38">
                    <c:v>FY2019</c:v>
                  </c:pt>
                  <c:pt idx="39">
                    <c:v>FY2020</c:v>
                  </c:pt>
                  <c:pt idx="40">
                    <c:v>FY2021</c:v>
                  </c:pt>
                  <c:pt idx="41">
                    <c:v>FY2022</c:v>
                  </c:pt>
                  <c:pt idx="42">
                    <c:v>FY2022 IIJA Allocation4</c:v>
                  </c:pt>
                  <c:pt idx="43">
                    <c:v>FY2016</c:v>
                  </c:pt>
                  <c:pt idx="44">
                    <c:v>FY2017</c:v>
                  </c:pt>
                  <c:pt idx="45">
                    <c:v>FY2018</c:v>
                  </c:pt>
                  <c:pt idx="46">
                    <c:v>FY2019</c:v>
                  </c:pt>
                  <c:pt idx="47">
                    <c:v>FY2020</c:v>
                  </c:pt>
                  <c:pt idx="48">
                    <c:v>FY2021</c:v>
                  </c:pt>
                  <c:pt idx="49">
                    <c:v>FY2022</c:v>
                  </c:pt>
                  <c:pt idx="50">
                    <c:v>FY2022 IIJA Allocation4</c:v>
                  </c:pt>
                  <c:pt idx="51">
                    <c:v>FY2016</c:v>
                  </c:pt>
                  <c:pt idx="52">
                    <c:v>FY2017</c:v>
                  </c:pt>
                  <c:pt idx="53">
                    <c:v>FY2018</c:v>
                  </c:pt>
                  <c:pt idx="54">
                    <c:v>FY2019</c:v>
                  </c:pt>
                  <c:pt idx="55">
                    <c:v>FY2020</c:v>
                  </c:pt>
                  <c:pt idx="56">
                    <c:v>FY2021</c:v>
                  </c:pt>
                  <c:pt idx="57">
                    <c:v>FY2022</c:v>
                  </c:pt>
                  <c:pt idx="58">
                    <c:v>FY2022 IIJA4 Allocation</c:v>
                  </c:pt>
                </c:lvl>
                <c:lvl>
                  <c:pt idx="0">
                    <c:v>Delaware</c:v>
                  </c:pt>
                  <c:pt idx="9">
                    <c:v>District of Columbia</c:v>
                  </c:pt>
                  <c:pt idx="18">
                    <c:v>Maryland</c:v>
                  </c:pt>
                  <c:pt idx="26">
                    <c:v>New York</c:v>
                  </c:pt>
                  <c:pt idx="35">
                    <c:v>Pennsylvania</c:v>
                  </c:pt>
                  <c:pt idx="43">
                    <c:v>Virginia</c:v>
                  </c:pt>
                  <c:pt idx="51">
                    <c:v>West Virginia</c:v>
                  </c:pt>
                </c:lvl>
              </c:multiLvlStrCache>
            </c:multiLvlStrRef>
          </c:cat>
          <c:val>
            <c:numRef>
              <c:f>'EPAGrantAllocations (FY16-22)'!$B$12:$BH$12</c:f>
              <c:numCache>
                <c:formatCode>_("$"* #,##0_);_("$"* \(#,##0\);_("$"* "-"??_);_(@_)</c:formatCode>
                <c:ptCount val="59"/>
                <c:pt idx="0">
                  <c:v>90000</c:v>
                </c:pt>
                <c:pt idx="1">
                  <c:v>0</c:v>
                </c:pt>
                <c:pt idx="2">
                  <c:v>37500</c:v>
                </c:pt>
                <c:pt idx="3">
                  <c:v>0</c:v>
                </c:pt>
                <c:pt idx="5">
                  <c:v>0</c:v>
                </c:pt>
                <c:pt idx="6">
                  <c:v>0</c:v>
                </c:pt>
                <c:pt idx="9">
                  <c:v>107500</c:v>
                </c:pt>
                <c:pt idx="10">
                  <c:v>250000</c:v>
                </c:pt>
                <c:pt idx="11">
                  <c:v>125000</c:v>
                </c:pt>
                <c:pt idx="12">
                  <c:v>65000</c:v>
                </c:pt>
                <c:pt idx="13">
                  <c:v>65000</c:v>
                </c:pt>
                <c:pt idx="14">
                  <c:v>0</c:v>
                </c:pt>
                <c:pt idx="15">
                  <c:v>0</c:v>
                </c:pt>
                <c:pt idx="16">
                  <c:v>0</c:v>
                </c:pt>
                <c:pt idx="18">
                  <c:v>1102790</c:v>
                </c:pt>
                <c:pt idx="19">
                  <c:v>1260000</c:v>
                </c:pt>
                <c:pt idx="20">
                  <c:v>1285000</c:v>
                </c:pt>
                <c:pt idx="21">
                  <c:v>1060000</c:v>
                </c:pt>
                <c:pt idx="22">
                  <c:v>925000</c:v>
                </c:pt>
                <c:pt idx="23">
                  <c:v>200000</c:v>
                </c:pt>
                <c:pt idx="24">
                  <c:v>0</c:v>
                </c:pt>
                <c:pt idx="26">
                  <c:v>0</c:v>
                </c:pt>
                <c:pt idx="27">
                  <c:v>177000</c:v>
                </c:pt>
                <c:pt idx="28">
                  <c:v>179000</c:v>
                </c:pt>
                <c:pt idx="29">
                  <c:v>0</c:v>
                </c:pt>
                <c:pt idx="30">
                  <c:v>179000</c:v>
                </c:pt>
                <c:pt idx="31">
                  <c:v>179000</c:v>
                </c:pt>
                <c:pt idx="32">
                  <c:v>179000</c:v>
                </c:pt>
                <c:pt idx="35">
                  <c:v>125000</c:v>
                </c:pt>
                <c:pt idx="36">
                  <c:v>0</c:v>
                </c:pt>
                <c:pt idx="37">
                  <c:v>0</c:v>
                </c:pt>
                <c:pt idx="38">
                  <c:v>50032</c:v>
                </c:pt>
                <c:pt idx="39">
                  <c:v>100000</c:v>
                </c:pt>
                <c:pt idx="40">
                  <c:v>210000</c:v>
                </c:pt>
                <c:pt idx="41">
                  <c:v>100000</c:v>
                </c:pt>
                <c:pt idx="43">
                  <c:v>0</c:v>
                </c:pt>
                <c:pt idx="44">
                  <c:v>0</c:v>
                </c:pt>
                <c:pt idx="45">
                  <c:v>100000</c:v>
                </c:pt>
                <c:pt idx="46">
                  <c:v>160000</c:v>
                </c:pt>
                <c:pt idx="47">
                  <c:v>275000</c:v>
                </c:pt>
                <c:pt idx="48">
                  <c:v>215000</c:v>
                </c:pt>
                <c:pt idx="49">
                  <c:v>0</c:v>
                </c:pt>
                <c:pt idx="50">
                  <c:v>0</c:v>
                </c:pt>
                <c:pt idx="51">
                  <c:v>42910</c:v>
                </c:pt>
                <c:pt idx="52">
                  <c:v>0</c:v>
                </c:pt>
                <c:pt idx="53">
                  <c:v>0</c:v>
                </c:pt>
                <c:pt idx="54">
                  <c:v>0</c:v>
                </c:pt>
                <c:pt idx="55">
                  <c:v>0</c:v>
                </c:pt>
                <c:pt idx="56">
                  <c:v>9737</c:v>
                </c:pt>
                <c:pt idx="57">
                  <c:v>0</c:v>
                </c:pt>
              </c:numCache>
            </c:numRef>
          </c:val>
          <c:extLst>
            <c:ext xmlns:c16="http://schemas.microsoft.com/office/drawing/2014/chart" uri="{C3380CC4-5D6E-409C-BE32-E72D297353CC}">
              <c16:uniqueId val="{00000006-F397-0547-9D5F-5636D8A74024}"/>
            </c:ext>
          </c:extLst>
        </c:ser>
        <c:dLbls>
          <c:showLegendKey val="0"/>
          <c:showVal val="0"/>
          <c:showCatName val="0"/>
          <c:showSerName val="0"/>
          <c:showPercent val="0"/>
          <c:showBubbleSize val="0"/>
        </c:dLbls>
        <c:gapWidth val="159"/>
        <c:overlap val="100"/>
        <c:axId val="-308196368"/>
        <c:axId val="-308193616"/>
      </c:barChart>
      <c:catAx>
        <c:axId val="-308196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193616"/>
        <c:crosses val="autoZero"/>
        <c:auto val="1"/>
        <c:lblAlgn val="ctr"/>
        <c:lblOffset val="100"/>
        <c:tickLblSkip val="1"/>
        <c:noMultiLvlLbl val="0"/>
      </c:catAx>
      <c:valAx>
        <c:axId val="-308193616"/>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196368"/>
        <c:crosses val="autoZero"/>
        <c:crossBetween val="between"/>
      </c:valAx>
      <c:spPr>
        <a:noFill/>
        <a:ln>
          <a:solidFill>
            <a:schemeClr val="accent1"/>
          </a:solidFill>
          <a:round/>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Directed</a:t>
            </a:r>
            <a:r>
              <a:rPr lang="en-US" baseline="0"/>
              <a:t> Funds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6"/>
          <c:order val="0"/>
          <c:tx>
            <c:strRef>
              <c:f>'Directed Funds (2022)'!$G$6</c:f>
              <c:strCache>
                <c:ptCount val="1"/>
              </c:strCache>
            </c:strRef>
          </c:tx>
          <c:spPr>
            <a:solidFill>
              <a:schemeClr val="accent1">
                <a:lumMod val="60000"/>
              </a:schemeClr>
            </a:solidFill>
            <a:ln>
              <a:noFill/>
            </a:ln>
            <a:effectLst/>
          </c:spPr>
          <c:invertIfNegative val="0"/>
          <c:cat>
            <c:strRef>
              <c:f>'Directed Funds (2022)'!$A$8:$A$14</c:f>
              <c:strCache>
                <c:ptCount val="7"/>
                <c:pt idx="0">
                  <c:v>DE</c:v>
                </c:pt>
                <c:pt idx="1">
                  <c:v>DC</c:v>
                </c:pt>
                <c:pt idx="2">
                  <c:v>MD</c:v>
                </c:pt>
                <c:pt idx="3">
                  <c:v>NY</c:v>
                </c:pt>
                <c:pt idx="4">
                  <c:v>PA2,5</c:v>
                </c:pt>
                <c:pt idx="5">
                  <c:v>VA</c:v>
                </c:pt>
                <c:pt idx="6">
                  <c:v>WV</c:v>
                </c:pt>
              </c:strCache>
            </c:strRef>
          </c:cat>
          <c:val>
            <c:numRef>
              <c:f>'Directed Funds (2022)'!$G$8:$G$14</c:f>
              <c:numCache>
                <c:formatCode>_("$"* #,##0_);_("$"* \(#,##0\);_("$"* "-"??_);_(@_)</c:formatCode>
                <c:ptCount val="7"/>
                <c:pt idx="0">
                  <c:v>572850.78</c:v>
                </c:pt>
                <c:pt idx="1">
                  <c:v>269488</c:v>
                </c:pt>
                <c:pt idx="2">
                  <c:v>3892829.09</c:v>
                </c:pt>
                <c:pt idx="3">
                  <c:v>607006</c:v>
                </c:pt>
                <c:pt idx="4">
                  <c:v>7534411.3600000003</c:v>
                </c:pt>
                <c:pt idx="5">
                  <c:v>8118586.0199999996</c:v>
                </c:pt>
                <c:pt idx="6">
                  <c:v>788499.08</c:v>
                </c:pt>
              </c:numCache>
            </c:numRef>
          </c:val>
          <c:extLst>
            <c:ext xmlns:c16="http://schemas.microsoft.com/office/drawing/2014/chart" uri="{C3380CC4-5D6E-409C-BE32-E72D297353CC}">
              <c16:uniqueId val="{00000006-2897-E443-AE97-6E23F32E1739}"/>
            </c:ext>
          </c:extLst>
        </c:ser>
        <c:ser>
          <c:idx val="5"/>
          <c:order val="1"/>
          <c:tx>
            <c:strRef>
              <c:f>'Directed Funds (2022)'!$F$6</c:f>
              <c:strCache>
                <c:ptCount val="1"/>
              </c:strCache>
            </c:strRef>
          </c:tx>
          <c:spPr>
            <a:solidFill>
              <a:schemeClr val="accent6"/>
            </a:solidFill>
            <a:ln>
              <a:noFill/>
            </a:ln>
            <a:effectLst/>
          </c:spPr>
          <c:invertIfNegative val="0"/>
          <c:cat>
            <c:strRef>
              <c:f>'Directed Funds (2022)'!$A$8:$A$14</c:f>
              <c:strCache>
                <c:ptCount val="7"/>
                <c:pt idx="0">
                  <c:v>DE</c:v>
                </c:pt>
                <c:pt idx="1">
                  <c:v>DC</c:v>
                </c:pt>
                <c:pt idx="2">
                  <c:v>MD</c:v>
                </c:pt>
                <c:pt idx="3">
                  <c:v>NY</c:v>
                </c:pt>
                <c:pt idx="4">
                  <c:v>PA2,5</c:v>
                </c:pt>
                <c:pt idx="5">
                  <c:v>VA</c:v>
                </c:pt>
                <c:pt idx="6">
                  <c:v>WV</c:v>
                </c:pt>
              </c:strCache>
            </c:strRef>
          </c:cat>
          <c:val>
            <c:numRef>
              <c:f>'Directed Funds (2022)'!$F$8:$F$14</c:f>
              <c:numCache>
                <c:formatCode>_("$"* #,##0_);_("$"* \(#,##0\);_("$"* "-"??_);_(@_)</c:formatCode>
                <c:ptCount val="7"/>
                <c:pt idx="0">
                  <c:v>0</c:v>
                </c:pt>
                <c:pt idx="1">
                  <c:v>0</c:v>
                </c:pt>
                <c:pt idx="2">
                  <c:v>50000</c:v>
                </c:pt>
                <c:pt idx="3">
                  <c:v>25000</c:v>
                </c:pt>
                <c:pt idx="4">
                  <c:v>1060152</c:v>
                </c:pt>
                <c:pt idx="5">
                  <c:v>155000</c:v>
                </c:pt>
                <c:pt idx="6">
                  <c:v>20000</c:v>
                </c:pt>
              </c:numCache>
            </c:numRef>
          </c:val>
          <c:extLst>
            <c:ext xmlns:c16="http://schemas.microsoft.com/office/drawing/2014/chart" uri="{C3380CC4-5D6E-409C-BE32-E72D297353CC}">
              <c16:uniqueId val="{00000005-2897-E443-AE97-6E23F32E1739}"/>
            </c:ext>
          </c:extLst>
        </c:ser>
        <c:ser>
          <c:idx val="4"/>
          <c:order val="2"/>
          <c:tx>
            <c:strRef>
              <c:f>'Directed Funds (2022)'!$E$6</c:f>
              <c:strCache>
                <c:ptCount val="1"/>
                <c:pt idx="0">
                  <c:v>Leveraged Funds</c:v>
                </c:pt>
              </c:strCache>
            </c:strRef>
          </c:tx>
          <c:spPr>
            <a:solidFill>
              <a:schemeClr val="accent5"/>
            </a:solidFill>
            <a:ln>
              <a:noFill/>
            </a:ln>
            <a:effectLst/>
          </c:spPr>
          <c:invertIfNegative val="0"/>
          <c:cat>
            <c:strRef>
              <c:f>'Directed Funds (2022)'!$A$8:$A$14</c:f>
              <c:strCache>
                <c:ptCount val="7"/>
                <c:pt idx="0">
                  <c:v>DE</c:v>
                </c:pt>
                <c:pt idx="1">
                  <c:v>DC</c:v>
                </c:pt>
                <c:pt idx="2">
                  <c:v>MD</c:v>
                </c:pt>
                <c:pt idx="3">
                  <c:v>NY</c:v>
                </c:pt>
                <c:pt idx="4">
                  <c:v>PA2,5</c:v>
                </c:pt>
                <c:pt idx="5">
                  <c:v>VA</c:v>
                </c:pt>
                <c:pt idx="6">
                  <c:v>WV</c:v>
                </c:pt>
              </c:strCache>
            </c:strRef>
          </c:cat>
          <c:val>
            <c:numRef>
              <c:f>'Directed Funds (2022)'!$E$8:$E$14</c:f>
              <c:numCache>
                <c:formatCode>_("$"* #,##0_);_("$"* \(#,##0\);_("$"* "-"??_);_(@_)</c:formatCode>
                <c:ptCount val="7"/>
                <c:pt idx="0">
                  <c:v>305375.48</c:v>
                </c:pt>
                <c:pt idx="1">
                  <c:v>4042</c:v>
                </c:pt>
                <c:pt idx="2">
                  <c:v>337375.47</c:v>
                </c:pt>
                <c:pt idx="3">
                  <c:v>4042</c:v>
                </c:pt>
                <c:pt idx="4">
                  <c:v>4778539.34</c:v>
                </c:pt>
                <c:pt idx="5">
                  <c:v>5617945.8700000001</c:v>
                </c:pt>
                <c:pt idx="6">
                  <c:v>529042.15</c:v>
                </c:pt>
              </c:numCache>
            </c:numRef>
          </c:val>
          <c:extLst>
            <c:ext xmlns:c16="http://schemas.microsoft.com/office/drawing/2014/chart" uri="{C3380CC4-5D6E-409C-BE32-E72D297353CC}">
              <c16:uniqueId val="{00000004-2897-E443-AE97-6E23F32E1739}"/>
            </c:ext>
          </c:extLst>
        </c:ser>
        <c:ser>
          <c:idx val="3"/>
          <c:order val="3"/>
          <c:tx>
            <c:strRef>
              <c:f>'Directed Funds (2022)'!$D$6</c:f>
              <c:strCache>
                <c:ptCount val="1"/>
                <c:pt idx="0">
                  <c:v>Most Effective Basins (MEB) Award Amount1                                        </c:v>
                </c:pt>
              </c:strCache>
            </c:strRef>
          </c:tx>
          <c:spPr>
            <a:solidFill>
              <a:schemeClr val="accent4"/>
            </a:solidFill>
            <a:ln>
              <a:noFill/>
            </a:ln>
            <a:effectLst/>
          </c:spPr>
          <c:invertIfNegative val="0"/>
          <c:cat>
            <c:strRef>
              <c:f>'Directed Funds (2022)'!$A$8:$A$14</c:f>
              <c:strCache>
                <c:ptCount val="7"/>
                <c:pt idx="0">
                  <c:v>DE</c:v>
                </c:pt>
                <c:pt idx="1">
                  <c:v>DC</c:v>
                </c:pt>
                <c:pt idx="2">
                  <c:v>MD</c:v>
                </c:pt>
                <c:pt idx="3">
                  <c:v>NY</c:v>
                </c:pt>
                <c:pt idx="4">
                  <c:v>PA2,5</c:v>
                </c:pt>
                <c:pt idx="5">
                  <c:v>VA</c:v>
                </c:pt>
                <c:pt idx="6">
                  <c:v>WV</c:v>
                </c:pt>
              </c:strCache>
            </c:strRef>
          </c:cat>
          <c:val>
            <c:numRef>
              <c:f>'Directed Funds (2022)'!$D$8:$D$14</c:f>
              <c:numCache>
                <c:formatCode>_("$"* #,##0_);_("$"* \(#,##0\);_("$"* "-"??_);_(@_)</c:formatCode>
                <c:ptCount val="7"/>
                <c:pt idx="0">
                  <c:v>0</c:v>
                </c:pt>
                <c:pt idx="1">
                  <c:v>0</c:v>
                </c:pt>
                <c:pt idx="2">
                  <c:v>0</c:v>
                </c:pt>
                <c:pt idx="3">
                  <c:v>0</c:v>
                </c:pt>
                <c:pt idx="4">
                  <c:v>6402499.25</c:v>
                </c:pt>
                <c:pt idx="5">
                  <c:v>0</c:v>
                </c:pt>
                <c:pt idx="6">
                  <c:v>0</c:v>
                </c:pt>
              </c:numCache>
            </c:numRef>
          </c:val>
          <c:extLst>
            <c:ext xmlns:c16="http://schemas.microsoft.com/office/drawing/2014/chart" uri="{C3380CC4-5D6E-409C-BE32-E72D297353CC}">
              <c16:uniqueId val="{00000003-2897-E443-AE97-6E23F32E1739}"/>
            </c:ext>
          </c:extLst>
        </c:ser>
        <c:ser>
          <c:idx val="2"/>
          <c:order val="4"/>
          <c:tx>
            <c:strRef>
              <c:f>'Directed Funds (2022)'!$C$6</c:f>
              <c:strCache>
                <c:ptCount val="1"/>
                <c:pt idx="0">
                  <c:v>Small Watershed Grants (SWG) Award Amount</c:v>
                </c:pt>
              </c:strCache>
            </c:strRef>
          </c:tx>
          <c:spPr>
            <a:solidFill>
              <a:schemeClr val="accent3"/>
            </a:solidFill>
            <a:ln>
              <a:noFill/>
            </a:ln>
            <a:effectLst/>
          </c:spPr>
          <c:invertIfNegative val="0"/>
          <c:cat>
            <c:strRef>
              <c:f>'Directed Funds (2022)'!$A$8:$A$14</c:f>
              <c:strCache>
                <c:ptCount val="7"/>
                <c:pt idx="0">
                  <c:v>DE</c:v>
                </c:pt>
                <c:pt idx="1">
                  <c:v>DC</c:v>
                </c:pt>
                <c:pt idx="2">
                  <c:v>MD</c:v>
                </c:pt>
                <c:pt idx="3">
                  <c:v>NY</c:v>
                </c:pt>
                <c:pt idx="4">
                  <c:v>PA2,5</c:v>
                </c:pt>
                <c:pt idx="5">
                  <c:v>VA</c:v>
                </c:pt>
                <c:pt idx="6">
                  <c:v>WV</c:v>
                </c:pt>
              </c:strCache>
            </c:strRef>
          </c:cat>
          <c:val>
            <c:numRef>
              <c:f>'Directed Funds (2022)'!$C$8:$C$14</c:f>
              <c:numCache>
                <c:formatCode>_("$"* #,##0_);_("$"* \(#,##0\);_("$"* "-"??_);_(@_)</c:formatCode>
                <c:ptCount val="7"/>
                <c:pt idx="0">
                  <c:v>856792.51</c:v>
                </c:pt>
                <c:pt idx="1">
                  <c:v>83239.179999999993</c:v>
                </c:pt>
                <c:pt idx="2">
                  <c:v>2573017.0699999998</c:v>
                </c:pt>
                <c:pt idx="3">
                  <c:v>643093</c:v>
                </c:pt>
                <c:pt idx="4">
                  <c:v>2966438.6</c:v>
                </c:pt>
                <c:pt idx="5">
                  <c:v>2475063.21</c:v>
                </c:pt>
                <c:pt idx="6">
                  <c:v>966577.67</c:v>
                </c:pt>
              </c:numCache>
            </c:numRef>
          </c:val>
          <c:extLst>
            <c:ext xmlns:c16="http://schemas.microsoft.com/office/drawing/2014/chart" uri="{C3380CC4-5D6E-409C-BE32-E72D297353CC}">
              <c16:uniqueId val="{00000002-2897-E443-AE97-6E23F32E1739}"/>
            </c:ext>
          </c:extLst>
        </c:ser>
        <c:ser>
          <c:idx val="1"/>
          <c:order val="5"/>
          <c:tx>
            <c:strRef>
              <c:f>'Directed Funds (2022)'!$B$6</c:f>
              <c:strCache>
                <c:ptCount val="1"/>
                <c:pt idx="0">
                  <c:v>Innovative Nutrient &amp; Sediment Reduction (INSR) Award Amount</c:v>
                </c:pt>
              </c:strCache>
            </c:strRef>
          </c:tx>
          <c:spPr>
            <a:solidFill>
              <a:schemeClr val="accent2"/>
            </a:solidFill>
            <a:ln>
              <a:noFill/>
            </a:ln>
            <a:effectLst/>
          </c:spPr>
          <c:invertIfNegative val="0"/>
          <c:cat>
            <c:strRef>
              <c:f>'Directed Funds (2022)'!$A$8:$A$14</c:f>
              <c:strCache>
                <c:ptCount val="7"/>
                <c:pt idx="0">
                  <c:v>DE</c:v>
                </c:pt>
                <c:pt idx="1">
                  <c:v>DC</c:v>
                </c:pt>
                <c:pt idx="2">
                  <c:v>MD</c:v>
                </c:pt>
                <c:pt idx="3">
                  <c:v>NY</c:v>
                </c:pt>
                <c:pt idx="4">
                  <c:v>PA2,5</c:v>
                </c:pt>
                <c:pt idx="5">
                  <c:v>VA</c:v>
                </c:pt>
                <c:pt idx="6">
                  <c:v>WV</c:v>
                </c:pt>
              </c:strCache>
            </c:strRef>
          </c:cat>
          <c:val>
            <c:numRef>
              <c:f>'Directed Funds (2022)'!$B$8:$B$14</c:f>
              <c:numCache>
                <c:formatCode>_("$"* #,##0_);_("$"* \(#,##0\);_("$"* "-"??_);_(@_)</c:formatCode>
                <c:ptCount val="7"/>
                <c:pt idx="0">
                  <c:v>139901.70000000001</c:v>
                </c:pt>
                <c:pt idx="1">
                  <c:v>182206.23</c:v>
                </c:pt>
                <c:pt idx="2">
                  <c:v>1649640.72</c:v>
                </c:pt>
                <c:pt idx="3">
                  <c:v>500000</c:v>
                </c:pt>
                <c:pt idx="4">
                  <c:v>2488281.58</c:v>
                </c:pt>
                <c:pt idx="5">
                  <c:v>3827597.62</c:v>
                </c:pt>
                <c:pt idx="6">
                  <c:v>348379.88</c:v>
                </c:pt>
              </c:numCache>
            </c:numRef>
          </c:val>
          <c:extLst>
            <c:ext xmlns:c16="http://schemas.microsoft.com/office/drawing/2014/chart" uri="{C3380CC4-5D6E-409C-BE32-E72D297353CC}">
              <c16:uniqueId val="{00000001-2897-E443-AE97-6E23F32E1739}"/>
            </c:ext>
          </c:extLst>
        </c:ser>
        <c:dLbls>
          <c:showLegendKey val="0"/>
          <c:showVal val="0"/>
          <c:showCatName val="0"/>
          <c:showSerName val="0"/>
          <c:showPercent val="0"/>
          <c:showBubbleSize val="0"/>
        </c:dLbls>
        <c:gapWidth val="150"/>
        <c:overlap val="100"/>
        <c:axId val="1950672688"/>
        <c:axId val="1950674336"/>
      </c:barChart>
      <c:catAx>
        <c:axId val="195067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0674336"/>
        <c:crosses val="autoZero"/>
        <c:auto val="1"/>
        <c:lblAlgn val="ctr"/>
        <c:lblOffset val="100"/>
        <c:noMultiLvlLbl val="0"/>
      </c:catAx>
      <c:valAx>
        <c:axId val="19506743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0672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80</xdr:col>
      <xdr:colOff>838064</xdr:colOff>
      <xdr:row>4</xdr:row>
      <xdr:rowOff>354188</xdr:rowOff>
    </xdr:from>
    <xdr:to>
      <xdr:col>88</xdr:col>
      <xdr:colOff>288375</xdr:colOff>
      <xdr:row>19</xdr:row>
      <xdr:rowOff>151695</xdr:rowOff>
    </xdr:to>
    <xdr:graphicFrame macro="">
      <xdr:nvGraphicFramePr>
        <xdr:cNvPr id="3" name="Chart 2">
          <a:extLst>
            <a:ext uri="{FF2B5EF4-FFF2-40B4-BE49-F238E27FC236}">
              <a16:creationId xmlns:a16="http://schemas.microsoft.com/office/drawing/2014/main" id="{AD9F7C41-0C87-F025-0F18-9A2753A1086B}"/>
            </a:ext>
            <a:ext uri="{147F2762-F138-4A5C-976F-8EAC2B608ADB}">
              <a16:predDERef xmlns:a16="http://schemas.microsoft.com/office/drawing/2014/main" pre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66</xdr:col>
      <xdr:colOff>76200</xdr:colOff>
      <xdr:row>15</xdr:row>
      <xdr:rowOff>95250</xdr:rowOff>
    </xdr:from>
    <xdr:to>
      <xdr:col>72</xdr:col>
      <xdr:colOff>685800</xdr:colOff>
      <xdr:row>30</xdr:row>
      <xdr:rowOff>161925</xdr:rowOff>
    </xdr:to>
    <xdr:graphicFrame macro="">
      <xdr:nvGraphicFramePr>
        <xdr:cNvPr id="18" name="Chart 6">
          <a:extLst>
            <a:ext uri="{FF2B5EF4-FFF2-40B4-BE49-F238E27FC236}">
              <a16:creationId xmlns:a16="http://schemas.microsoft.com/office/drawing/2014/main" id="{392CF43D-34B5-7FAE-09CD-3EDB68215313}"/>
            </a:ext>
            <a:ext uri="{147F2762-F138-4A5C-976F-8EAC2B608ADB}">
              <a16:predDERef xmlns:a16="http://schemas.microsoft.com/office/drawing/2014/main" pred="{AD9F7C41-0C87-F025-0F18-9A2753A108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232832</xdr:colOff>
      <xdr:row>15</xdr:row>
      <xdr:rowOff>105833</xdr:rowOff>
    </xdr:from>
    <xdr:to>
      <xdr:col>48</xdr:col>
      <xdr:colOff>952499</xdr:colOff>
      <xdr:row>33</xdr:row>
      <xdr:rowOff>31749</xdr:rowOff>
    </xdr:to>
    <xdr:graphicFrame macro="">
      <xdr:nvGraphicFramePr>
        <xdr:cNvPr id="24" name="Chart 19">
          <a:extLst>
            <a:ext uri="{FF2B5EF4-FFF2-40B4-BE49-F238E27FC236}">
              <a16:creationId xmlns:a16="http://schemas.microsoft.com/office/drawing/2014/main" id="{6C9E9D27-2BF4-9B3B-283D-2E11DF9A40C6}"/>
            </a:ext>
            <a:ext uri="{147F2762-F138-4A5C-976F-8EAC2B608ADB}">
              <a16:predDERef xmlns:a16="http://schemas.microsoft.com/office/drawing/2014/main" pred="{392CF43D-34B5-7FAE-09CD-3EDB682153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679173</xdr:colOff>
      <xdr:row>28</xdr:row>
      <xdr:rowOff>135833</xdr:rowOff>
    </xdr:from>
    <xdr:to>
      <xdr:col>8</xdr:col>
      <xdr:colOff>919368</xdr:colOff>
      <xdr:row>53</xdr:row>
      <xdr:rowOff>24847</xdr:rowOff>
    </xdr:to>
    <xdr:graphicFrame macro="">
      <xdr:nvGraphicFramePr>
        <xdr:cNvPr id="22" name="Chart 21">
          <a:extLst>
            <a:ext uri="{FF2B5EF4-FFF2-40B4-BE49-F238E27FC236}">
              <a16:creationId xmlns:a16="http://schemas.microsoft.com/office/drawing/2014/main" id="{A38FDE57-B5B9-52A4-BD2C-DB0C4A3B263C}"/>
            </a:ext>
            <a:ext uri="{147F2762-F138-4A5C-976F-8EAC2B608ADB}">
              <a16:predDERef xmlns:a16="http://schemas.microsoft.com/office/drawing/2014/main" pred="{6C9E9D27-2BF4-9B3B-283D-2E11DF9A40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2095499</xdr:colOff>
      <xdr:row>19</xdr:row>
      <xdr:rowOff>135834</xdr:rowOff>
    </xdr:from>
    <xdr:to>
      <xdr:col>21</xdr:col>
      <xdr:colOff>463826</xdr:colOff>
      <xdr:row>39</xdr:row>
      <xdr:rowOff>190500</xdr:rowOff>
    </xdr:to>
    <xdr:graphicFrame macro="">
      <xdr:nvGraphicFramePr>
        <xdr:cNvPr id="25" name="Chart 24">
          <a:extLst>
            <a:ext uri="{FF2B5EF4-FFF2-40B4-BE49-F238E27FC236}">
              <a16:creationId xmlns:a16="http://schemas.microsoft.com/office/drawing/2014/main" id="{DF10A024-5386-9B0B-6ECB-B3F96C76AA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403088</xdr:colOff>
      <xdr:row>53</xdr:row>
      <xdr:rowOff>93870</xdr:rowOff>
    </xdr:from>
    <xdr:to>
      <xdr:col>9</xdr:col>
      <xdr:colOff>143567</xdr:colOff>
      <xdr:row>83</xdr:row>
      <xdr:rowOff>193262</xdr:rowOff>
    </xdr:to>
    <xdr:graphicFrame macro="">
      <xdr:nvGraphicFramePr>
        <xdr:cNvPr id="10" name="Chart 1">
          <a:extLst>
            <a:ext uri="{FF2B5EF4-FFF2-40B4-BE49-F238E27FC236}">
              <a16:creationId xmlns:a16="http://schemas.microsoft.com/office/drawing/2014/main" id="{2195975D-4856-418E-9413-6DD9FE696BBD}"/>
            </a:ext>
            <a:ext uri="{147F2762-F138-4A5C-976F-8EAC2B608ADB}">
              <a16:predDERef xmlns:a16="http://schemas.microsoft.com/office/drawing/2014/main" pred="{DF10A024-5386-9B0B-6ECB-B3F96C76AA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139815</xdr:colOff>
      <xdr:row>23</xdr:row>
      <xdr:rowOff>78647</xdr:rowOff>
    </xdr:from>
    <xdr:to>
      <xdr:col>7</xdr:col>
      <xdr:colOff>882591</xdr:colOff>
      <xdr:row>48</xdr:row>
      <xdr:rowOff>8738</xdr:rowOff>
    </xdr:to>
    <xdr:graphicFrame macro="">
      <xdr:nvGraphicFramePr>
        <xdr:cNvPr id="3" name="Chart 2">
          <a:extLst>
            <a:ext uri="{FF2B5EF4-FFF2-40B4-BE49-F238E27FC236}">
              <a16:creationId xmlns:a16="http://schemas.microsoft.com/office/drawing/2014/main" id="{4406EEAE-CB2F-59AE-345D-6348C3DAD6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84706</xdr:rowOff>
    </xdr:from>
    <xdr:to>
      <xdr:col>37</xdr:col>
      <xdr:colOff>704850</xdr:colOff>
      <xdr:row>55</xdr:row>
      <xdr:rowOff>152400</xdr:rowOff>
    </xdr:to>
    <xdr:graphicFrame macro="">
      <xdr:nvGraphicFramePr>
        <xdr:cNvPr id="1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1124</xdr:colOff>
      <xdr:row>16</xdr:row>
      <xdr:rowOff>1438584</xdr:rowOff>
    </xdr:from>
    <xdr:to>
      <xdr:col>18</xdr:col>
      <xdr:colOff>382124</xdr:colOff>
      <xdr:row>48</xdr:row>
      <xdr:rowOff>134867</xdr:rowOff>
    </xdr:to>
    <xdr:graphicFrame macro="">
      <xdr:nvGraphicFramePr>
        <xdr:cNvPr id="2" name="Chart 2">
          <a:extLst>
            <a:ext uri="{FF2B5EF4-FFF2-40B4-BE49-F238E27FC236}">
              <a16:creationId xmlns:a16="http://schemas.microsoft.com/office/drawing/2014/main" id="{CB872B0A-A3C4-6265-0229-2EDF4BE01B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26</xdr:row>
      <xdr:rowOff>146049</xdr:rowOff>
    </xdr:from>
    <xdr:to>
      <xdr:col>8</xdr:col>
      <xdr:colOff>323850</xdr:colOff>
      <xdr:row>57</xdr:row>
      <xdr:rowOff>133350</xdr:rowOff>
    </xdr:to>
    <xdr:graphicFrame macro="">
      <xdr:nvGraphicFramePr>
        <xdr:cNvPr id="24" name="Chart 1">
          <a:extLst>
            <a:ext uri="{FF2B5EF4-FFF2-40B4-BE49-F238E27FC236}">
              <a16:creationId xmlns:a16="http://schemas.microsoft.com/office/drawing/2014/main" id="{14D565B9-A789-AF27-BF7A-0D1AE2963DA4}"/>
            </a:ext>
            <a:ext uri="{147F2762-F138-4A5C-976F-8EAC2B608ADB}">
              <a16:predDERef xmlns:a16="http://schemas.microsoft.com/office/drawing/2014/main" pred="{9579AC5E-67FA-1E86-C8EC-ADE031AE8F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M9"/>
  <sheetViews>
    <sheetView tabSelected="1" zoomScale="110" zoomScaleNormal="110" zoomScalePageLayoutView="120" workbookViewId="0">
      <selection activeCell="L5" sqref="L5"/>
    </sheetView>
  </sheetViews>
  <sheetFormatPr defaultColWidth="11" defaultRowHeight="15.5"/>
  <cols>
    <col min="1" max="1" width="25" customWidth="1"/>
    <col min="2" max="2" width="19.5" bestFit="1" customWidth="1"/>
    <col min="3" max="3" width="8.83203125" customWidth="1"/>
    <col min="4" max="4" width="8.83203125" bestFit="1" customWidth="1"/>
    <col min="5" max="6" width="11" customWidth="1"/>
    <col min="7" max="7" width="9" bestFit="1" customWidth="1"/>
    <col min="8" max="9" width="9.5" customWidth="1"/>
    <col min="10" max="10" width="11" customWidth="1"/>
    <col min="11" max="11" width="17.33203125" customWidth="1"/>
    <col min="12" max="12" width="14.83203125" customWidth="1"/>
    <col min="13" max="13" width="11.58203125" customWidth="1"/>
  </cols>
  <sheetData>
    <row r="1" spans="1:13" ht="16" customHeight="1">
      <c r="A1" s="10" t="s">
        <v>0</v>
      </c>
      <c r="B1" s="10"/>
      <c r="C1" s="10"/>
      <c r="D1" s="10"/>
    </row>
    <row r="2" spans="1:13">
      <c r="A2" s="11" t="s">
        <v>1</v>
      </c>
      <c r="B2" s="9"/>
      <c r="C2" s="9"/>
      <c r="D2" s="9"/>
    </row>
    <row r="3" spans="1:13" ht="31" customHeight="1">
      <c r="A3" s="11"/>
      <c r="B3" s="9"/>
      <c r="C3" s="9"/>
      <c r="D3" s="9"/>
      <c r="L3" s="287" t="s">
        <v>2</v>
      </c>
      <c r="M3" s="288"/>
    </row>
    <row r="4" spans="1:13" ht="31">
      <c r="A4" s="11"/>
      <c r="B4" s="1" t="s">
        <v>3</v>
      </c>
      <c r="C4" s="10" t="s">
        <v>4</v>
      </c>
      <c r="D4" s="10" t="s">
        <v>5</v>
      </c>
      <c r="E4" s="10" t="s">
        <v>6</v>
      </c>
      <c r="F4" s="10" t="s">
        <v>7</v>
      </c>
      <c r="G4" s="1" t="s">
        <v>8</v>
      </c>
      <c r="H4" s="1" t="s">
        <v>9</v>
      </c>
      <c r="I4" s="1" t="s">
        <v>10</v>
      </c>
      <c r="J4" s="1" t="s">
        <v>11</v>
      </c>
      <c r="K4" s="158" t="s">
        <v>12</v>
      </c>
      <c r="L4" s="244" t="s">
        <v>13</v>
      </c>
      <c r="M4" s="249" t="s">
        <v>14</v>
      </c>
    </row>
    <row r="5" spans="1:13">
      <c r="A5" s="10" t="s">
        <v>15</v>
      </c>
      <c r="B5" s="8">
        <f>'Federal (FY14-22)'!B6+'Federal (FY14-22)'!O6+'Federal (FY14-22)'!AC6+'Federal (FY14-22)'!AP6+'Federal (FY14-22)'!BP6</f>
        <v>484.29999999999995</v>
      </c>
      <c r="C5" s="8">
        <f>'Federal (FY14-22)'!C6+'Federal (FY14-22)'!P6+'Federal (FY14-22)'!AD6+'Federal (FY14-22)'!AQ6+'Federal (FY14-22)'!BQ6</f>
        <v>463.54000000000008</v>
      </c>
      <c r="D5" s="8">
        <f>'Federal (FY14-22)'!D6+'Federal (FY14-22)'!Q6+'Federal (FY14-22)'!AE6+'Federal (FY14-22)'!AR6+'Federal (FY14-22)'!BR6</f>
        <v>491.83000000000004</v>
      </c>
      <c r="E5" s="8">
        <f>SUM('Federal (FY14-22)'!E6+'Federal (FY14-22)'!R6+'Federal (FY14-22)'!AF6+'Federal (FY14-22)'!AS6+'Federal (FY14-22)'!BF6+'Federal (FY14-22)'!BS6)</f>
        <v>497.02000000000004</v>
      </c>
      <c r="F5" s="8">
        <f>SUM('Federal (FY14-22)'!F6+'Federal (FY14-22)'!S6+'Federal (FY14-22)'!AG6+'Federal (FY14-22)'!AT6+'Federal (FY14-22)'!BG6+'Federal (FY14-22)'!BT6)</f>
        <v>531.79</v>
      </c>
      <c r="G5" s="8">
        <f>SUM('Federal (FY14-22)'!$G$6+'Federal (FY14-22)'!$T$6+'Federal (FY14-22)'!$AH$6+'Federal (FY14-22)'!$AU$6+'Federal (FY14-22)'!$BH$6+'Federal (FY14-22)'!$BU$6)</f>
        <v>505.41999999999996</v>
      </c>
      <c r="H5" s="8">
        <f>SUM('Federal (FY14-22)'!H6+'Federal (FY14-22)'!U6+'Federal (FY14-22)'!AI6+'Federal (FY14-22)'!AV6+'Federal (FY14-22)'!BI6+'Federal (FY14-22)'!BV6)</f>
        <v>540.03399999999988</v>
      </c>
      <c r="I5" s="8">
        <f>SUM('Federal (FY14-22)'!I6+'Federal (FY14-22)'!V6+'Federal (FY14-22)'!AJ6+'Federal (FY14-22)'!AW6+'Federal (FY14-22)'!BJ6+'Federal (FY14-22)'!BW6)</f>
        <v>537.54300000000001</v>
      </c>
      <c r="J5" s="8">
        <f>SUM('Federal (FY14-22)'!J6+'Federal (FY14-22)'!W6+'Federal (FY14-22)'!AK6+'Federal (FY14-22)'!AX6+'Federal (FY14-22)'!BK6+'Federal (FY14-22)'!BX6)</f>
        <v>536.10299999999995</v>
      </c>
      <c r="K5" s="8">
        <f>SUM('Federal (FY14-22)'!K6,'Federal (FY14-22)'!X6,'Federal (FY14-22)'!AL6,'Federal (FY14-22)'!AY6,'Federal (FY14-22)'!BL6,'Federal (FY14-22)'!BY6)</f>
        <v>500.69799999999998</v>
      </c>
      <c r="L5" s="241">
        <f>SUM('Federal (FY14-22)'!L6,'Federal (FY14-22)'!Y6,'Federal (FY14-22)'!AM6,'Federal (FY14-22)'!AZ6,'Federal (FY14-22)'!BM6,'Federal (FY14-22)'!BZ6)</f>
        <v>242.57599999999999</v>
      </c>
      <c r="M5" s="241">
        <f>SUM('Federal (FY14-22)'!M6,'Federal (FY14-22)'!N6,'Federal (FY14-22)'!Z6,'Federal (FY14-22)'!AA6,'Federal (FY14-22)'!AN6,'Federal (FY14-22)'!AO6,'Federal (FY14-22)'!BA6,'Federal (FY14-22)'!BB6,'Federal (FY14-22)'!BN6,'Federal (FY14-22)'!BO6,'Federal (FY14-22)'!CA6,'Federal (FY14-22)'!CB6)</f>
        <v>47.6</v>
      </c>
    </row>
    <row r="6" spans="1:13">
      <c r="A6" s="10" t="s">
        <v>16</v>
      </c>
      <c r="B6" s="34" t="s">
        <v>17</v>
      </c>
      <c r="C6" s="8">
        <f>'State (FY14-22)'!C12</f>
        <v>1273.5</v>
      </c>
      <c r="D6" s="8">
        <f>'State (FY14-22)'!D12</f>
        <v>948.30000000000007</v>
      </c>
      <c r="E6" s="8">
        <f>'State (FY14-22)'!E12</f>
        <v>2013.4</v>
      </c>
      <c r="F6" s="8">
        <f>'State (FY14-22)'!F12</f>
        <v>1015.025</v>
      </c>
      <c r="G6" s="8">
        <f>'State (FY14-22)'!G12</f>
        <v>1066.7239999999999</v>
      </c>
      <c r="H6" s="8">
        <f>'State (FY14-22)'!H12</f>
        <v>1116.395</v>
      </c>
      <c r="I6" s="8">
        <f>'State (FY14-22)'!I12</f>
        <v>1080.3869999999999</v>
      </c>
      <c r="J6" s="8">
        <f>'State (FY14-22)'!J12</f>
        <v>1045.864</v>
      </c>
      <c r="K6" s="8">
        <f>'State (FY14-22)'!K12</f>
        <v>1369.1999999999998</v>
      </c>
      <c r="L6" s="241" t="s">
        <v>18</v>
      </c>
      <c r="M6" s="241" t="s">
        <v>18</v>
      </c>
    </row>
    <row r="7" spans="1:13">
      <c r="A7" s="31" t="s">
        <v>19</v>
      </c>
      <c r="B7" s="35" t="s">
        <v>17</v>
      </c>
      <c r="C7" s="32">
        <f>SUM(C5:C6)</f>
        <v>1737.04</v>
      </c>
      <c r="D7" s="32">
        <f t="shared" ref="D7:F7" si="0">SUM(D5:D6)</f>
        <v>1440.13</v>
      </c>
      <c r="E7" s="32">
        <f t="shared" si="0"/>
        <v>2510.42</v>
      </c>
      <c r="F7" s="32">
        <f t="shared" si="0"/>
        <v>1546.8150000000001</v>
      </c>
      <c r="G7" s="32">
        <f t="shared" ref="G7:M7" si="1">SUM(G5:G6)</f>
        <v>1572.1439999999998</v>
      </c>
      <c r="H7" s="32">
        <f t="shared" si="1"/>
        <v>1656.4289999999999</v>
      </c>
      <c r="I7" s="32">
        <f t="shared" si="1"/>
        <v>1617.9299999999998</v>
      </c>
      <c r="J7" s="32">
        <f t="shared" si="1"/>
        <v>1581.9670000000001</v>
      </c>
      <c r="K7" s="181">
        <f>SUM(K5:K6)</f>
        <v>1869.8979999999997</v>
      </c>
      <c r="L7" s="242">
        <f t="shared" si="1"/>
        <v>242.57599999999999</v>
      </c>
      <c r="M7" s="243">
        <f t="shared" si="1"/>
        <v>47.6</v>
      </c>
    </row>
    <row r="9" spans="1:13" ht="108" customHeight="1">
      <c r="A9" s="246" t="s">
        <v>20</v>
      </c>
    </row>
  </sheetData>
  <mergeCells count="1">
    <mergeCell ref="L3:M3"/>
  </mergeCells>
  <phoneticPr fontId="16"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CA78"/>
  <sheetViews>
    <sheetView zoomScaleNormal="100" workbookViewId="0">
      <selection activeCell="M5" sqref="M5"/>
    </sheetView>
  </sheetViews>
  <sheetFormatPr defaultColWidth="11" defaultRowHeight="15.75" customHeight="1"/>
  <cols>
    <col min="1" max="1" width="35.83203125" style="2" customWidth="1"/>
    <col min="2" max="4" width="12.83203125" style="2" customWidth="1"/>
    <col min="5" max="6" width="12.83203125" customWidth="1"/>
    <col min="7" max="7" width="12.83203125" style="29" customWidth="1"/>
    <col min="8" max="11" width="12.83203125" customWidth="1"/>
    <col min="12" max="12" width="12.58203125" customWidth="1"/>
    <col min="13" max="13" width="13" customWidth="1"/>
    <col min="14" max="14" width="41.25" customWidth="1"/>
    <col min="15" max="19" width="12.83203125" customWidth="1"/>
    <col min="20" max="20" width="12.83203125" style="29" customWidth="1"/>
    <col min="21" max="25" width="12.83203125" customWidth="1"/>
    <col min="26" max="26" width="10.83203125" customWidth="1"/>
    <col min="27" max="27" width="12.83203125" customWidth="1"/>
    <col min="28" max="28" width="35.83203125" customWidth="1"/>
    <col min="29" max="39" width="12.83203125" customWidth="1"/>
    <col min="40" max="40" width="10.75" customWidth="1"/>
    <col min="41" max="41" width="35.83203125" customWidth="1"/>
    <col min="42" max="52" width="12.83203125" customWidth="1"/>
    <col min="53" max="53" width="19.75" customWidth="1"/>
    <col min="54" max="54" width="35.83203125" customWidth="1"/>
    <col min="55" max="58" width="12.83203125" customWidth="1"/>
    <col min="59" max="59" width="13" customWidth="1"/>
    <col min="60" max="65" width="12.83203125" customWidth="1"/>
    <col min="66" max="66" width="11.08203125" customWidth="1"/>
    <col min="67" max="67" width="35.83203125" customWidth="1"/>
    <col min="68" max="75" width="12.83203125" customWidth="1"/>
    <col min="76" max="76" width="9.75" customWidth="1"/>
    <col min="77" max="77" width="10.83203125" customWidth="1"/>
    <col min="78" max="78" width="12.83203125" customWidth="1"/>
    <col min="79" max="79" width="12.33203125" customWidth="1"/>
  </cols>
  <sheetData>
    <row r="1" spans="1:79" ht="15.5">
      <c r="A1" s="1" t="s">
        <v>21</v>
      </c>
      <c r="B1" s="1"/>
      <c r="C1" s="1"/>
      <c r="D1" s="1"/>
      <c r="G1"/>
      <c r="T1"/>
    </row>
    <row r="2" spans="1:79" ht="15.5">
      <c r="A2" t="s">
        <v>22</v>
      </c>
      <c r="B2"/>
      <c r="C2"/>
      <c r="D2"/>
      <c r="G2"/>
      <c r="T2"/>
    </row>
    <row r="3" spans="1:79" ht="12.75" customHeight="1">
      <c r="A3" s="10"/>
      <c r="B3" s="22"/>
      <c r="C3"/>
      <c r="D3"/>
      <c r="G3"/>
      <c r="L3" s="289" t="s">
        <v>23</v>
      </c>
      <c r="M3" s="290"/>
      <c r="T3"/>
      <c r="Y3" s="289" t="s">
        <v>23</v>
      </c>
      <c r="Z3" s="290"/>
      <c r="AM3" s="289" t="s">
        <v>23</v>
      </c>
      <c r="AN3" s="290"/>
      <c r="AZ3" s="289" t="s">
        <v>23</v>
      </c>
      <c r="BA3" s="290"/>
      <c r="BM3" s="289" t="s">
        <v>23</v>
      </c>
      <c r="BN3" s="290"/>
      <c r="BZ3" s="289" t="s">
        <v>23</v>
      </c>
      <c r="CA3" s="290"/>
    </row>
    <row r="4" spans="1:79" ht="15.5">
      <c r="A4" s="10" t="s">
        <v>24</v>
      </c>
      <c r="B4" s="22">
        <f>J6+W6+AK6+AX6+BK6+BX6</f>
        <v>536.10299999999995</v>
      </c>
      <c r="C4" s="22"/>
      <c r="D4" s="10" t="s">
        <v>25</v>
      </c>
      <c r="E4" s="22"/>
      <c r="F4" s="12"/>
      <c r="G4" s="22">
        <f>K6+X6+AL6+AY6+BL6+Z6+BY6</f>
        <v>500.69799999999998</v>
      </c>
      <c r="H4" s="22"/>
      <c r="L4" s="290"/>
      <c r="M4" s="290"/>
      <c r="T4"/>
      <c r="Y4" s="290"/>
      <c r="Z4" s="290"/>
      <c r="AM4" s="290"/>
      <c r="AN4" s="290"/>
      <c r="AZ4" s="290"/>
      <c r="BA4" s="290"/>
      <c r="BM4" s="290"/>
      <c r="BN4" s="290"/>
      <c r="BZ4" s="290"/>
      <c r="CA4" s="290"/>
    </row>
    <row r="5" spans="1:79" ht="46.5">
      <c r="A5" s="19"/>
      <c r="B5" s="19" t="s">
        <v>3</v>
      </c>
      <c r="C5" s="19" t="s">
        <v>4</v>
      </c>
      <c r="D5" s="19" t="s">
        <v>5</v>
      </c>
      <c r="E5" s="22" t="s">
        <v>6</v>
      </c>
      <c r="F5" s="22" t="s">
        <v>7</v>
      </c>
      <c r="G5" s="30" t="s">
        <v>26</v>
      </c>
      <c r="H5" s="30" t="s">
        <v>9</v>
      </c>
      <c r="I5" s="30" t="s">
        <v>10</v>
      </c>
      <c r="J5" s="30" t="s">
        <v>11</v>
      </c>
      <c r="K5" s="30" t="s">
        <v>27</v>
      </c>
      <c r="L5" s="245" t="s">
        <v>28</v>
      </c>
      <c r="M5" s="245" t="s">
        <v>29</v>
      </c>
      <c r="O5" s="19" t="s">
        <v>3</v>
      </c>
      <c r="P5" s="19" t="s">
        <v>4</v>
      </c>
      <c r="Q5" s="19" t="s">
        <v>5</v>
      </c>
      <c r="R5" s="22" t="s">
        <v>6</v>
      </c>
      <c r="S5" s="22" t="s">
        <v>7</v>
      </c>
      <c r="T5" s="19" t="s">
        <v>8</v>
      </c>
      <c r="U5" s="19" t="s">
        <v>9</v>
      </c>
      <c r="V5" s="19" t="s">
        <v>10</v>
      </c>
      <c r="W5" s="19" t="s">
        <v>11</v>
      </c>
      <c r="X5" s="19" t="s">
        <v>27</v>
      </c>
      <c r="Y5" s="213" t="s">
        <v>28</v>
      </c>
      <c r="Z5" s="215" t="s">
        <v>30</v>
      </c>
      <c r="AA5" s="19"/>
      <c r="AB5" s="38"/>
      <c r="AC5" s="19" t="s">
        <v>3</v>
      </c>
      <c r="AD5" s="19" t="s">
        <v>4</v>
      </c>
      <c r="AE5" s="19" t="s">
        <v>5</v>
      </c>
      <c r="AF5" s="22" t="s">
        <v>6</v>
      </c>
      <c r="AG5" s="22" t="s">
        <v>7</v>
      </c>
      <c r="AH5" s="19" t="s">
        <v>8</v>
      </c>
      <c r="AI5" s="19" t="s">
        <v>9</v>
      </c>
      <c r="AJ5" s="19" t="s">
        <v>10</v>
      </c>
      <c r="AK5" s="19" t="s">
        <v>31</v>
      </c>
      <c r="AL5" s="19" t="s">
        <v>27</v>
      </c>
      <c r="AM5" s="213" t="s">
        <v>28</v>
      </c>
      <c r="AN5" s="215" t="s">
        <v>30</v>
      </c>
      <c r="AP5" s="19" t="s">
        <v>3</v>
      </c>
      <c r="AQ5" s="19" t="s">
        <v>4</v>
      </c>
      <c r="AR5" s="19" t="s">
        <v>5</v>
      </c>
      <c r="AS5" s="22" t="s">
        <v>6</v>
      </c>
      <c r="AT5" s="22" t="s">
        <v>7</v>
      </c>
      <c r="AU5" s="19" t="s">
        <v>8</v>
      </c>
      <c r="AV5" s="19" t="s">
        <v>9</v>
      </c>
      <c r="AW5" s="19" t="s">
        <v>10</v>
      </c>
      <c r="AX5" s="19" t="s">
        <v>11</v>
      </c>
      <c r="AY5" s="19" t="s">
        <v>27</v>
      </c>
      <c r="AZ5" s="213" t="s">
        <v>28</v>
      </c>
      <c r="BA5" s="215" t="s">
        <v>30</v>
      </c>
      <c r="BB5" s="199"/>
      <c r="BC5" s="19" t="s">
        <v>3</v>
      </c>
      <c r="BD5" s="19" t="s">
        <v>4</v>
      </c>
      <c r="BE5" s="19" t="s">
        <v>5</v>
      </c>
      <c r="BF5" s="22" t="s">
        <v>6</v>
      </c>
      <c r="BG5" s="22" t="s">
        <v>7</v>
      </c>
      <c r="BH5" s="30" t="s">
        <v>26</v>
      </c>
      <c r="BI5" s="30" t="s">
        <v>9</v>
      </c>
      <c r="BJ5" s="30" t="s">
        <v>10</v>
      </c>
      <c r="BK5" s="30" t="s">
        <v>11</v>
      </c>
      <c r="BL5" s="30" t="s">
        <v>27</v>
      </c>
      <c r="BM5" s="279" t="s">
        <v>28</v>
      </c>
      <c r="BN5" s="278" t="s">
        <v>30</v>
      </c>
      <c r="BP5" s="19" t="s">
        <v>3</v>
      </c>
      <c r="BQ5" s="19" t="s">
        <v>4</v>
      </c>
      <c r="BR5" s="19" t="s">
        <v>5</v>
      </c>
      <c r="BS5" s="22" t="s">
        <v>6</v>
      </c>
      <c r="BT5" s="22" t="s">
        <v>7</v>
      </c>
      <c r="BU5" s="19" t="s">
        <v>26</v>
      </c>
      <c r="BV5" s="19" t="s">
        <v>9</v>
      </c>
      <c r="BW5" s="19" t="s">
        <v>10</v>
      </c>
      <c r="BX5" s="19" t="s">
        <v>11</v>
      </c>
      <c r="BY5" s="19" t="s">
        <v>27</v>
      </c>
      <c r="BZ5" s="213" t="s">
        <v>28</v>
      </c>
      <c r="CA5" s="213" t="s">
        <v>30</v>
      </c>
    </row>
    <row r="6" spans="1:79" ht="31">
      <c r="A6" s="19" t="s">
        <v>32</v>
      </c>
      <c r="B6" s="51">
        <f t="shared" ref="B6:F6" si="0">B7+B18</f>
        <v>183.5</v>
      </c>
      <c r="C6" s="51">
        <f t="shared" si="0"/>
        <v>185.84</v>
      </c>
      <c r="D6" s="51">
        <f t="shared" si="0"/>
        <v>196.13</v>
      </c>
      <c r="E6" s="51">
        <f>E7+E18</f>
        <v>195.3</v>
      </c>
      <c r="F6" s="51">
        <f t="shared" si="0"/>
        <v>217.92</v>
      </c>
      <c r="G6" s="51">
        <f t="shared" ref="G6:J6" si="1">G7+G18</f>
        <v>193.41</v>
      </c>
      <c r="H6" s="51">
        <f t="shared" si="1"/>
        <v>227.64099999999999</v>
      </c>
      <c r="I6" s="51">
        <f t="shared" si="1"/>
        <v>234.20000000000002</v>
      </c>
      <c r="J6" s="51">
        <f t="shared" si="1"/>
        <v>198.1</v>
      </c>
      <c r="K6" s="51">
        <f>K7+K18</f>
        <v>193</v>
      </c>
      <c r="L6" s="207">
        <f>L7+L18</f>
        <v>189.876</v>
      </c>
      <c r="M6" s="210">
        <f>SUM(M7, M18)</f>
        <v>47.6</v>
      </c>
      <c r="N6" s="39" t="s">
        <v>33</v>
      </c>
      <c r="O6" s="51">
        <f t="shared" ref="O6:U6" si="2">SUM(O7:O15)</f>
        <v>154.89999999999998</v>
      </c>
      <c r="P6" s="51">
        <f t="shared" si="2"/>
        <v>155.89999999999998</v>
      </c>
      <c r="Q6" s="51">
        <f t="shared" si="2"/>
        <v>160.69999999999999</v>
      </c>
      <c r="R6" s="51">
        <f t="shared" si="2"/>
        <v>151.52000000000001</v>
      </c>
      <c r="S6" s="51">
        <f t="shared" si="2"/>
        <v>152.57</v>
      </c>
      <c r="T6" s="51">
        <f t="shared" si="2"/>
        <v>174.10999999999999</v>
      </c>
      <c r="U6" s="51">
        <f t="shared" si="2"/>
        <v>168.45299999999997</v>
      </c>
      <c r="V6" s="51">
        <f>SUM(V7:V15)</f>
        <v>161.63800000000001</v>
      </c>
      <c r="W6" s="51">
        <f>SUM(W7:W15)</f>
        <v>161.34299999999999</v>
      </c>
      <c r="X6" s="51">
        <f>SUM(X7:X15)</f>
        <v>199.50200000000001</v>
      </c>
      <c r="Y6" s="214">
        <f>SUM(Y7:Y15)</f>
        <v>6.2</v>
      </c>
      <c r="Z6" s="210">
        <f>SUM(Z7:Z15)</f>
        <v>0</v>
      </c>
      <c r="AA6" s="21"/>
      <c r="AB6" s="39" t="s">
        <v>34</v>
      </c>
      <c r="AC6" s="51">
        <f t="shared" ref="AC6:AG6" si="3">SUM(AC7:AC9)</f>
        <v>16.399999999999999</v>
      </c>
      <c r="AD6" s="51">
        <f t="shared" si="3"/>
        <v>16.100000000000001</v>
      </c>
      <c r="AE6" s="51">
        <f t="shared" si="3"/>
        <v>16.3</v>
      </c>
      <c r="AF6" s="51">
        <f t="shared" si="3"/>
        <v>17.5</v>
      </c>
      <c r="AG6" s="51">
        <f t="shared" si="3"/>
        <v>16</v>
      </c>
      <c r="AH6" s="51">
        <f>SUM(AH7)</f>
        <v>22.2</v>
      </c>
      <c r="AI6" s="51">
        <f t="shared" ref="AI6:AK6" si="4">SUM(AI7)</f>
        <v>24.8</v>
      </c>
      <c r="AJ6" s="51">
        <f>SUM(AJ7)</f>
        <v>23.500000000000004</v>
      </c>
      <c r="AK6" s="51">
        <f t="shared" si="4"/>
        <v>20.400000000000002</v>
      </c>
      <c r="AL6" s="51">
        <f>SUM(AL7)</f>
        <v>20.900000000000002</v>
      </c>
      <c r="AM6" s="216" t="s">
        <v>35</v>
      </c>
      <c r="AN6" s="210">
        <v>0</v>
      </c>
      <c r="AO6" s="19" t="s">
        <v>36</v>
      </c>
      <c r="AP6" s="51">
        <f t="shared" ref="AP6:AV6" si="5">SUM(AP7:AP8)</f>
        <v>83.4</v>
      </c>
      <c r="AQ6" s="51">
        <f t="shared" si="5"/>
        <v>64.599999999999994</v>
      </c>
      <c r="AR6" s="51">
        <f t="shared" si="5"/>
        <v>79.600000000000009</v>
      </c>
      <c r="AS6" s="51">
        <f t="shared" si="5"/>
        <v>97</v>
      </c>
      <c r="AT6" s="51">
        <f t="shared" si="5"/>
        <v>110.5</v>
      </c>
      <c r="AU6" s="51">
        <f t="shared" si="5"/>
        <v>93.800000000000011</v>
      </c>
      <c r="AV6" s="51">
        <f t="shared" si="5"/>
        <v>81.490000000000009</v>
      </c>
      <c r="AW6" s="51">
        <f>SUM(AW7:AW8)</f>
        <v>80.099999999999994</v>
      </c>
      <c r="AX6" s="51">
        <f>SUM(AX7:AX8)</f>
        <v>113.2</v>
      </c>
      <c r="AY6" s="51">
        <f>SUM(AY7:AY8)</f>
        <v>50.75</v>
      </c>
      <c r="AZ6" s="207">
        <f>SUM(AZ7:AZ8)</f>
        <v>46.5</v>
      </c>
      <c r="BA6" s="210">
        <f>SUM(BA7:BA8)</f>
        <v>0</v>
      </c>
      <c r="BB6" s="200" t="s">
        <v>37</v>
      </c>
      <c r="BC6" s="24" t="s">
        <v>38</v>
      </c>
      <c r="BD6" s="24" t="s">
        <v>38</v>
      </c>
      <c r="BE6" s="24" t="s">
        <v>38</v>
      </c>
      <c r="BF6" s="51">
        <f t="shared" ref="BF6:BN6" si="6">SUM(BF7:BF13)</f>
        <v>0</v>
      </c>
      <c r="BG6" s="51">
        <f t="shared" si="6"/>
        <v>0</v>
      </c>
      <c r="BH6" s="51">
        <f t="shared" si="6"/>
        <v>0</v>
      </c>
      <c r="BI6" s="51">
        <f t="shared" si="6"/>
        <v>0.4</v>
      </c>
      <c r="BJ6" s="51">
        <f t="shared" si="6"/>
        <v>2.0550000000000002</v>
      </c>
      <c r="BK6" s="51">
        <f t="shared" si="6"/>
        <v>2.11</v>
      </c>
      <c r="BL6" s="51">
        <f>SUM(BL7:BL13)</f>
        <v>0.5</v>
      </c>
      <c r="BM6" s="207">
        <f t="shared" si="6"/>
        <v>0</v>
      </c>
      <c r="BN6" s="210">
        <f t="shared" si="6"/>
        <v>0</v>
      </c>
      <c r="BO6" s="3" t="s">
        <v>39</v>
      </c>
      <c r="BP6" s="51">
        <f t="shared" ref="BP6:BR6" si="7">SUM(BP7:BP10)</f>
        <v>46.100000000000009</v>
      </c>
      <c r="BQ6" s="51">
        <f t="shared" si="7"/>
        <v>41.1</v>
      </c>
      <c r="BR6" s="51">
        <f t="shared" si="7"/>
        <v>39.1</v>
      </c>
      <c r="BS6" s="51">
        <f>SUM(BS7:BS10)</f>
        <v>35.700000000000003</v>
      </c>
      <c r="BT6" s="51">
        <f>SUM(BT7:BT10)</f>
        <v>34.799999999999997</v>
      </c>
      <c r="BU6" s="51">
        <v>21.9</v>
      </c>
      <c r="BV6" s="51">
        <f t="shared" ref="BV6:CA6" si="8">SUM(BV7:BV10)</f>
        <v>37.25</v>
      </c>
      <c r="BW6" s="51">
        <f t="shared" si="8"/>
        <v>36.049999999999997</v>
      </c>
      <c r="BX6" s="51">
        <f t="shared" si="8"/>
        <v>40.949999999999996</v>
      </c>
      <c r="BY6" s="51">
        <f>SUM(BY7:BY10)</f>
        <v>36.045999999999999</v>
      </c>
      <c r="BZ6" s="224">
        <f t="shared" si="8"/>
        <v>0</v>
      </c>
      <c r="CA6" s="207">
        <f t="shared" si="8"/>
        <v>0</v>
      </c>
    </row>
    <row r="7" spans="1:79" ht="31">
      <c r="A7" s="23" t="s">
        <v>40</v>
      </c>
      <c r="B7" s="37">
        <f t="shared" ref="B7:F7" si="9">SUM(B8:B17)</f>
        <v>70</v>
      </c>
      <c r="C7" s="37">
        <f t="shared" si="9"/>
        <v>73</v>
      </c>
      <c r="D7" s="37">
        <f t="shared" si="9"/>
        <v>73</v>
      </c>
      <c r="E7" s="37">
        <f t="shared" si="9"/>
        <v>72.900000000000006</v>
      </c>
      <c r="F7" s="37">
        <f t="shared" si="9"/>
        <v>73</v>
      </c>
      <c r="G7" s="37">
        <f t="shared" ref="G7:J7" si="10">SUM(G8:G17)</f>
        <v>72.949999999999989</v>
      </c>
      <c r="H7" s="37">
        <f t="shared" si="10"/>
        <v>85</v>
      </c>
      <c r="I7" s="37">
        <f t="shared" si="10"/>
        <v>87.4</v>
      </c>
      <c r="J7" s="37">
        <f t="shared" si="10"/>
        <v>88</v>
      </c>
      <c r="K7" s="37">
        <f>SUM(K8:K17)</f>
        <v>90.5</v>
      </c>
      <c r="L7" s="208">
        <f>SUM(L8:L17)</f>
        <v>47.6</v>
      </c>
      <c r="M7" s="211">
        <f>47.6</f>
        <v>47.6</v>
      </c>
      <c r="N7" s="40" t="s">
        <v>41</v>
      </c>
      <c r="O7" s="14">
        <v>1.1000000000000001</v>
      </c>
      <c r="P7" s="14">
        <v>1.1000000000000001</v>
      </c>
      <c r="Q7" s="14">
        <v>1.1000000000000001</v>
      </c>
      <c r="R7" s="14">
        <v>1.1000000000000001</v>
      </c>
      <c r="S7" s="14">
        <v>1</v>
      </c>
      <c r="T7" s="14">
        <v>1.5</v>
      </c>
      <c r="U7" s="14">
        <f>1.5+0.053</f>
        <v>1.5529999999999999</v>
      </c>
      <c r="V7" s="14">
        <f>1.67</f>
        <v>1.67</v>
      </c>
      <c r="W7" s="14">
        <f>1.79</f>
        <v>1.79</v>
      </c>
      <c r="X7" s="14">
        <f>1.5+0.424</f>
        <v>1.9239999999999999</v>
      </c>
      <c r="Y7" s="209">
        <v>0</v>
      </c>
      <c r="Z7" s="212">
        <v>0</v>
      </c>
      <c r="AA7" s="14"/>
      <c r="AB7" s="40" t="s">
        <v>42</v>
      </c>
      <c r="AC7" s="14">
        <v>16.399999999999999</v>
      </c>
      <c r="AD7" s="14">
        <v>16.100000000000001</v>
      </c>
      <c r="AE7" s="14">
        <v>16.3</v>
      </c>
      <c r="AF7" s="14">
        <v>17.5</v>
      </c>
      <c r="AG7" s="14">
        <v>16</v>
      </c>
      <c r="AH7" s="14">
        <v>22.2</v>
      </c>
      <c r="AI7" s="14">
        <f>2.8+2.4+1.7+2.4+0.9+6.3+5.5+2.8</f>
        <v>24.8</v>
      </c>
      <c r="AJ7" s="14">
        <f>2.4+1.5+2.1+0.9+0.8+6.6+6.4+2.8</f>
        <v>23.500000000000004</v>
      </c>
      <c r="AK7" s="154">
        <f>2+1+1.9+0.9+6.8+5+2.8</f>
        <v>20.400000000000002</v>
      </c>
      <c r="AL7" s="154">
        <f>2.6+1+1.9+0.9+5.7+6+2.8</f>
        <v>20.900000000000002</v>
      </c>
      <c r="AM7" s="217" t="s">
        <v>35</v>
      </c>
      <c r="AN7" s="218" t="s">
        <v>35</v>
      </c>
      <c r="AO7" s="16" t="s">
        <v>43</v>
      </c>
      <c r="AP7" s="14">
        <v>57.4</v>
      </c>
      <c r="AQ7" s="14">
        <v>41.8</v>
      </c>
      <c r="AR7" s="14">
        <v>70.7</v>
      </c>
      <c r="AS7" s="14">
        <v>79.5</v>
      </c>
      <c r="AT7" s="14">
        <v>94.5</v>
      </c>
      <c r="AU7" s="14">
        <v>50.7</v>
      </c>
      <c r="AV7" s="14">
        <v>53.99</v>
      </c>
      <c r="AW7" s="14">
        <v>57.5</v>
      </c>
      <c r="AX7" s="14">
        <v>62.7</v>
      </c>
      <c r="AY7" s="14">
        <v>22.6</v>
      </c>
      <c r="AZ7" s="209">
        <v>0</v>
      </c>
      <c r="BA7" s="212">
        <v>0</v>
      </c>
      <c r="BB7" s="201" t="s">
        <v>44</v>
      </c>
      <c r="BC7" s="25"/>
      <c r="BD7" s="25"/>
      <c r="BE7" s="25"/>
      <c r="BF7" s="182">
        <v>0</v>
      </c>
      <c r="BG7" s="182">
        <v>0</v>
      </c>
      <c r="BH7" s="182">
        <v>0</v>
      </c>
      <c r="BI7" s="182">
        <v>0</v>
      </c>
      <c r="BJ7" s="182">
        <v>0</v>
      </c>
      <c r="BK7" s="182">
        <v>0</v>
      </c>
      <c r="BL7" s="182">
        <v>0</v>
      </c>
      <c r="BM7" s="219">
        <v>0</v>
      </c>
      <c r="BN7" s="222">
        <v>0</v>
      </c>
      <c r="BO7" s="16" t="s">
        <v>45</v>
      </c>
      <c r="BP7" s="14">
        <v>32.200000000000003</v>
      </c>
      <c r="BQ7" s="14">
        <v>19.5</v>
      </c>
      <c r="BR7" s="14">
        <v>18.3</v>
      </c>
      <c r="BS7" s="14">
        <v>17.3</v>
      </c>
      <c r="BT7" s="14">
        <v>16.2</v>
      </c>
      <c r="BU7" s="14">
        <f>13.4+1+0.7+0.6+0.5</f>
        <v>16.2</v>
      </c>
      <c r="BV7" s="14">
        <f>3.2+5+3.6+1.7+0.7+0.6+0.5</f>
        <v>15.299999999999997</v>
      </c>
      <c r="BW7" s="14">
        <f>3.2+5+3.6+1.7+0.7+0.65+0.5</f>
        <v>15.349999999999998</v>
      </c>
      <c r="BX7" s="14">
        <f>3.2+5+3.6+1.7+4+0.7+0.65+0.5</f>
        <v>19.349999999999998</v>
      </c>
      <c r="BY7" s="157">
        <f>3.2+5+3.6+1.7+0.7+0.646+0.5</f>
        <v>15.345999999999998</v>
      </c>
      <c r="BZ7" s="209">
        <v>0</v>
      </c>
      <c r="CA7" s="221">
        <v>0</v>
      </c>
    </row>
    <row r="8" spans="1:79" ht="15.5">
      <c r="A8" s="16" t="s">
        <v>46</v>
      </c>
      <c r="B8" s="14">
        <v>5.2</v>
      </c>
      <c r="C8" s="14">
        <v>5.0999999999999996</v>
      </c>
      <c r="D8" s="14">
        <v>5.0999999999999996</v>
      </c>
      <c r="E8" s="14">
        <v>5.2</v>
      </c>
      <c r="F8" s="14">
        <v>4.8</v>
      </c>
      <c r="G8" s="14">
        <v>5.0999999999999996</v>
      </c>
      <c r="H8" s="14">
        <v>5.1689999999999996</v>
      </c>
      <c r="I8" s="14">
        <v>7</v>
      </c>
      <c r="J8" s="14">
        <v>7.4</v>
      </c>
      <c r="K8" s="14">
        <v>7.7</v>
      </c>
      <c r="L8" s="209">
        <v>1.258</v>
      </c>
      <c r="M8" s="212" t="s">
        <v>35</v>
      </c>
      <c r="N8" s="40" t="s">
        <v>47</v>
      </c>
      <c r="O8" s="14">
        <v>11.6</v>
      </c>
      <c r="P8" s="14">
        <v>11.6</v>
      </c>
      <c r="Q8" s="14">
        <v>11.7</v>
      </c>
      <c r="R8" s="14">
        <v>12.3</v>
      </c>
      <c r="S8" s="14">
        <v>12.7</v>
      </c>
      <c r="T8" s="14">
        <v>13.1</v>
      </c>
      <c r="U8" s="14">
        <f>5.69+6.123+0.413+1.304</f>
        <v>13.530000000000001</v>
      </c>
      <c r="V8" s="14">
        <f>5.762+6.169+0.417+1.316</f>
        <v>13.664</v>
      </c>
      <c r="W8" s="14">
        <f>5.762+6.169+0.417+1.316</f>
        <v>13.664</v>
      </c>
      <c r="X8" s="14">
        <f>5.762+6.169+0.417+1.316</f>
        <v>13.664</v>
      </c>
      <c r="Y8" s="209">
        <v>0</v>
      </c>
      <c r="Z8" s="212">
        <v>0</v>
      </c>
      <c r="AA8" s="14"/>
      <c r="AB8" s="38"/>
      <c r="AO8" s="16" t="s">
        <v>48</v>
      </c>
      <c r="AP8" s="14">
        <v>26</v>
      </c>
      <c r="AQ8" s="14">
        <v>22.8</v>
      </c>
      <c r="AR8" s="14">
        <v>8.9</v>
      </c>
      <c r="AS8" s="14">
        <v>17.5</v>
      </c>
      <c r="AT8" s="14">
        <v>16</v>
      </c>
      <c r="AU8" s="14">
        <v>43.1</v>
      </c>
      <c r="AV8" s="14">
        <v>27.5</v>
      </c>
      <c r="AW8" s="14">
        <v>22.6</v>
      </c>
      <c r="AX8" s="14">
        <v>50.5</v>
      </c>
      <c r="AY8" s="14">
        <v>28.15</v>
      </c>
      <c r="AZ8" s="209">
        <v>46.5</v>
      </c>
      <c r="BA8" s="212">
        <v>0</v>
      </c>
      <c r="BB8" s="199" t="s">
        <v>49</v>
      </c>
      <c r="BC8" s="25"/>
      <c r="BD8" s="25"/>
      <c r="BE8" s="25"/>
      <c r="BF8" s="183"/>
      <c r="BG8" s="183"/>
      <c r="BH8" s="183"/>
      <c r="BI8" s="184">
        <v>0.4</v>
      </c>
      <c r="BJ8" s="184">
        <v>0</v>
      </c>
      <c r="BK8" s="184">
        <v>0</v>
      </c>
      <c r="BL8" s="157">
        <v>0.5</v>
      </c>
      <c r="BM8" s="220">
        <v>0</v>
      </c>
      <c r="BN8" s="223">
        <v>0</v>
      </c>
      <c r="BO8" s="16" t="s">
        <v>50</v>
      </c>
      <c r="BP8" s="14">
        <v>4.2</v>
      </c>
      <c r="BQ8" s="14">
        <v>9</v>
      </c>
      <c r="BR8" s="14">
        <v>8.1999999999999993</v>
      </c>
      <c r="BS8" s="14">
        <v>5.5</v>
      </c>
      <c r="BT8" s="14">
        <v>5.9</v>
      </c>
      <c r="BU8" s="14">
        <v>6.3</v>
      </c>
      <c r="BV8" s="14">
        <f>1.4+0.5+0.2+3+0.4+0.9</f>
        <v>6.4</v>
      </c>
      <c r="BW8" s="14">
        <f>1.5+0.5+0.1+3+0.9+0</f>
        <v>6</v>
      </c>
      <c r="BX8" s="14">
        <f>1.6+0.5+0.5+3+0.5+0</f>
        <v>6.1</v>
      </c>
      <c r="BY8" s="157">
        <f>1.6+1+0.9+3+0.3+0</f>
        <v>6.8</v>
      </c>
      <c r="BZ8" s="209">
        <v>0</v>
      </c>
      <c r="CA8" s="221">
        <v>0</v>
      </c>
    </row>
    <row r="9" spans="1:79" ht="31">
      <c r="A9" s="16" t="s">
        <v>51</v>
      </c>
      <c r="B9" s="14">
        <v>7.9</v>
      </c>
      <c r="C9" s="14">
        <v>8.6999999999999993</v>
      </c>
      <c r="D9" s="14">
        <v>8.6999999999999993</v>
      </c>
      <c r="E9" s="14">
        <v>8.6999999999999993</v>
      </c>
      <c r="F9" s="14">
        <v>8.9</v>
      </c>
      <c r="G9" s="14">
        <v>9.1</v>
      </c>
      <c r="H9" s="14">
        <v>13</v>
      </c>
      <c r="I9" s="14">
        <v>10.1</v>
      </c>
      <c r="J9" s="14">
        <v>10.6</v>
      </c>
      <c r="K9" s="14">
        <v>11.1</v>
      </c>
      <c r="L9" s="209">
        <v>2.5920000000000001</v>
      </c>
      <c r="M9" s="212" t="s">
        <v>35</v>
      </c>
      <c r="N9" s="40" t="s">
        <v>52</v>
      </c>
      <c r="O9" s="14">
        <v>0.2</v>
      </c>
      <c r="P9" s="14">
        <v>0.1</v>
      </c>
      <c r="Q9" s="14">
        <v>0.4</v>
      </c>
      <c r="R9" s="15">
        <v>0.02</v>
      </c>
      <c r="S9" s="15">
        <v>7.0000000000000007E-2</v>
      </c>
      <c r="T9" s="14">
        <v>0.01</v>
      </c>
      <c r="U9" s="14">
        <v>0</v>
      </c>
      <c r="V9" s="14">
        <v>0</v>
      </c>
      <c r="W9" s="14">
        <v>0</v>
      </c>
      <c r="X9" s="14">
        <v>0</v>
      </c>
      <c r="Y9" s="209">
        <v>0</v>
      </c>
      <c r="Z9" s="212">
        <v>0</v>
      </c>
      <c r="AA9" s="280"/>
      <c r="AB9" s="276" t="s">
        <v>53</v>
      </c>
      <c r="AC9" s="20" t="s">
        <v>54</v>
      </c>
      <c r="AD9" s="20" t="s">
        <v>55</v>
      </c>
      <c r="AE9" s="20" t="s">
        <v>56</v>
      </c>
      <c r="AF9" s="20" t="s">
        <v>57</v>
      </c>
      <c r="AG9" s="20" t="s">
        <v>58</v>
      </c>
      <c r="AH9" s="20" t="s">
        <v>59</v>
      </c>
      <c r="AI9" s="20" t="s">
        <v>60</v>
      </c>
      <c r="AJ9" s="155" t="s">
        <v>61</v>
      </c>
      <c r="AK9" s="16"/>
      <c r="AL9" s="16"/>
      <c r="AM9" s="16"/>
      <c r="AN9" s="16"/>
      <c r="BB9" s="199" t="s">
        <v>62</v>
      </c>
      <c r="BC9" s="25"/>
      <c r="BE9" s="184"/>
      <c r="BF9" s="184">
        <v>0</v>
      </c>
      <c r="BG9" s="184">
        <v>0</v>
      </c>
      <c r="BH9" s="184">
        <v>0</v>
      </c>
      <c r="BI9" s="184">
        <v>0</v>
      </c>
      <c r="BJ9" s="184">
        <v>1.3</v>
      </c>
      <c r="BK9" s="182">
        <v>2.11</v>
      </c>
      <c r="BL9" s="182">
        <v>0</v>
      </c>
      <c r="BM9" s="219">
        <v>0</v>
      </c>
      <c r="BN9" s="222">
        <v>0</v>
      </c>
      <c r="BO9" s="16" t="s">
        <v>63</v>
      </c>
      <c r="BP9" s="14">
        <v>9.6999999999999993</v>
      </c>
      <c r="BQ9" s="14">
        <v>12.6</v>
      </c>
      <c r="BR9" s="14">
        <v>12.6</v>
      </c>
      <c r="BS9" s="14">
        <v>12.9</v>
      </c>
      <c r="BT9" s="14">
        <v>12.7</v>
      </c>
      <c r="BU9" s="14">
        <v>13.2</v>
      </c>
      <c r="BV9" s="14">
        <f>7.1+0.7+1+0.45+5.8+0.5</f>
        <v>15.55</v>
      </c>
      <c r="BW9" s="14">
        <f>8.6+0.4+5+0.7</f>
        <v>14.7</v>
      </c>
      <c r="BX9" s="14">
        <f>8.9+0.6+5.1+0.9</f>
        <v>15.5</v>
      </c>
      <c r="BY9" s="157">
        <f>8.8+0.9+3.5+0.7</f>
        <v>13.9</v>
      </c>
      <c r="BZ9" s="209">
        <v>0</v>
      </c>
      <c r="CA9" s="221">
        <v>0</v>
      </c>
    </row>
    <row r="10" spans="1:79" ht="15.5">
      <c r="A10" s="16" t="s">
        <v>64</v>
      </c>
      <c r="B10" s="14">
        <v>4.8</v>
      </c>
      <c r="C10" s="14">
        <v>4.8</v>
      </c>
      <c r="D10" s="14">
        <v>4.8</v>
      </c>
      <c r="E10" s="14">
        <v>4.8</v>
      </c>
      <c r="F10" s="14">
        <v>4.8</v>
      </c>
      <c r="G10" s="14">
        <v>4.3</v>
      </c>
      <c r="H10" s="14">
        <v>5.24</v>
      </c>
      <c r="I10" s="14">
        <v>5</v>
      </c>
      <c r="J10" s="14">
        <v>5</v>
      </c>
      <c r="K10" s="14">
        <v>5</v>
      </c>
      <c r="L10" s="209">
        <v>1.75</v>
      </c>
      <c r="M10" s="212" t="s">
        <v>35</v>
      </c>
      <c r="N10" s="40" t="s">
        <v>65</v>
      </c>
      <c r="O10" s="14">
        <v>43</v>
      </c>
      <c r="P10" s="14">
        <v>43</v>
      </c>
      <c r="Q10" s="14">
        <v>43</v>
      </c>
      <c r="R10" s="14">
        <v>33.4</v>
      </c>
      <c r="S10" s="14">
        <v>33.700000000000003</v>
      </c>
      <c r="T10" s="14">
        <v>33.700000000000003</v>
      </c>
      <c r="U10" s="14">
        <v>33.700000000000003</v>
      </c>
      <c r="V10" s="14">
        <v>33.700000000000003</v>
      </c>
      <c r="W10" s="14">
        <v>33.700000000000003</v>
      </c>
      <c r="X10" s="14">
        <v>33.700000000000003</v>
      </c>
      <c r="Y10" s="209">
        <v>0</v>
      </c>
      <c r="Z10" s="212">
        <v>0</v>
      </c>
      <c r="AA10" s="14"/>
      <c r="AB10" s="38"/>
      <c r="AC10" s="63">
        <f>(AE6-AD6)/AD6</f>
        <v>1.2422360248447159E-2</v>
      </c>
      <c r="AD10" s="63">
        <f t="shared" ref="AD10:AF10" si="11">(AF6-AE6)/AE6</f>
        <v>7.361963190184044E-2</v>
      </c>
      <c r="AE10" s="63">
        <f t="shared" si="11"/>
        <v>-8.5714285714285715E-2</v>
      </c>
      <c r="AF10" s="63">
        <f t="shared" si="11"/>
        <v>0.38749999999999996</v>
      </c>
      <c r="AG10" s="63">
        <f>(AI6-AH6)/AH6</f>
        <v>0.11711711711711718</v>
      </c>
      <c r="AH10" s="63">
        <f>(AJ6-AI6)/AI6</f>
        <v>-5.2419354838709561E-2</v>
      </c>
      <c r="AI10" s="63">
        <f>(AK6-AJ6)/AJ6</f>
        <v>-0.13191489361702133</v>
      </c>
      <c r="AJ10" s="156">
        <f>(AL6-AK6)/AK6</f>
        <v>2.4509803921568624E-2</v>
      </c>
      <c r="AK10" s="20"/>
      <c r="AL10" s="20"/>
      <c r="AM10" s="20"/>
      <c r="AN10" s="20"/>
      <c r="AO10" s="65" t="s">
        <v>53</v>
      </c>
      <c r="AP10" s="20" t="s">
        <v>54</v>
      </c>
      <c r="AQ10" s="20" t="s">
        <v>55</v>
      </c>
      <c r="AR10" s="20" t="s">
        <v>56</v>
      </c>
      <c r="AS10" s="20" t="s">
        <v>57</v>
      </c>
      <c r="AT10" s="20" t="s">
        <v>58</v>
      </c>
      <c r="AU10" s="20" t="s">
        <v>59</v>
      </c>
      <c r="AV10" s="20" t="s">
        <v>60</v>
      </c>
      <c r="AW10" s="20" t="s">
        <v>61</v>
      </c>
      <c r="AX10" s="20"/>
      <c r="AY10" s="20"/>
      <c r="AZ10" s="20"/>
      <c r="BA10" s="20"/>
      <c r="BB10" s="199" t="s">
        <v>66</v>
      </c>
      <c r="BF10" s="183"/>
      <c r="BG10" s="183"/>
      <c r="BH10" s="183"/>
      <c r="BI10" s="184">
        <v>0</v>
      </c>
      <c r="BJ10" s="184">
        <v>0.755</v>
      </c>
      <c r="BK10" s="184">
        <v>0</v>
      </c>
      <c r="BL10" s="184">
        <v>0</v>
      </c>
      <c r="BM10" s="220">
        <v>0</v>
      </c>
      <c r="BN10" s="223">
        <v>0</v>
      </c>
      <c r="BO10" s="16"/>
      <c r="BP10" s="25"/>
      <c r="BQ10" s="14"/>
      <c r="BR10" s="14"/>
      <c r="BS10" s="14"/>
      <c r="BT10" s="14"/>
      <c r="BU10" s="14"/>
      <c r="BV10" s="14"/>
      <c r="BW10" s="14"/>
      <c r="BX10" s="14"/>
      <c r="BY10" s="157"/>
      <c r="BZ10" s="14"/>
      <c r="CA10" s="157"/>
    </row>
    <row r="11" spans="1:79" ht="15.5">
      <c r="A11" s="16" t="s">
        <v>67</v>
      </c>
      <c r="B11" s="14">
        <v>3</v>
      </c>
      <c r="C11" s="14">
        <v>3</v>
      </c>
      <c r="D11" s="14">
        <v>3</v>
      </c>
      <c r="E11" s="14">
        <v>3</v>
      </c>
      <c r="F11" s="14">
        <v>3</v>
      </c>
      <c r="G11" s="14">
        <v>3</v>
      </c>
      <c r="H11" s="14">
        <v>2.0169999999999999</v>
      </c>
      <c r="I11" s="14">
        <v>1.8</v>
      </c>
      <c r="J11" s="14">
        <v>1.8</v>
      </c>
      <c r="K11" s="14">
        <v>1.8</v>
      </c>
      <c r="L11" s="209">
        <v>0.5</v>
      </c>
      <c r="M11" s="212" t="s">
        <v>35</v>
      </c>
      <c r="N11" s="40" t="s">
        <v>68</v>
      </c>
      <c r="O11" s="14" t="s">
        <v>69</v>
      </c>
      <c r="P11" s="14" t="s">
        <v>69</v>
      </c>
      <c r="Q11" s="14" t="s">
        <v>69</v>
      </c>
      <c r="R11" s="14">
        <v>0</v>
      </c>
      <c r="S11" s="14">
        <v>0</v>
      </c>
      <c r="T11" s="14">
        <v>0</v>
      </c>
      <c r="U11" s="14">
        <v>0</v>
      </c>
      <c r="V11" s="14">
        <v>0</v>
      </c>
      <c r="W11" s="14">
        <v>0</v>
      </c>
      <c r="X11" s="14">
        <v>42.457000000000001</v>
      </c>
      <c r="Y11" s="209">
        <v>0</v>
      </c>
      <c r="Z11" s="212">
        <v>0</v>
      </c>
      <c r="AA11" s="14"/>
      <c r="AB11" s="38"/>
      <c r="AF11" s="14"/>
      <c r="AG11" s="14"/>
      <c r="AP11" s="63">
        <f t="shared" ref="AP11:AV11" si="12">(AR6-AQ6)/AQ6</f>
        <v>0.23219814241486092</v>
      </c>
      <c r="AQ11" s="63">
        <f t="shared" si="12"/>
        <v>0.21859296482412047</v>
      </c>
      <c r="AR11" s="63">
        <f t="shared" si="12"/>
        <v>0.13917525773195877</v>
      </c>
      <c r="AS11" s="63">
        <f t="shared" si="12"/>
        <v>-0.15113122171945692</v>
      </c>
      <c r="AT11" s="63">
        <f t="shared" si="12"/>
        <v>-0.13123667377398721</v>
      </c>
      <c r="AU11" s="63">
        <f t="shared" si="12"/>
        <v>-1.7057307645110008E-2</v>
      </c>
      <c r="AV11" s="63">
        <f t="shared" si="12"/>
        <v>0.41323345817727852</v>
      </c>
      <c r="AW11" s="63">
        <f>(AY6-AX6)/AX6</f>
        <v>-0.55167844522968201</v>
      </c>
      <c r="BB11" s="199" t="s">
        <v>70</v>
      </c>
      <c r="BI11" s="184">
        <v>0</v>
      </c>
      <c r="BJ11" s="184">
        <v>0</v>
      </c>
      <c r="BK11" s="182">
        <v>0</v>
      </c>
      <c r="BL11" s="182">
        <v>0</v>
      </c>
      <c r="BM11" s="219">
        <v>0</v>
      </c>
      <c r="BN11" s="222">
        <v>0</v>
      </c>
    </row>
    <row r="12" spans="1:79" ht="15.5">
      <c r="A12" s="16" t="s">
        <v>71</v>
      </c>
      <c r="B12" s="14">
        <v>1.9</v>
      </c>
      <c r="C12" s="14">
        <v>2.6</v>
      </c>
      <c r="D12" s="14">
        <v>2.6</v>
      </c>
      <c r="E12" s="14">
        <v>2.6</v>
      </c>
      <c r="F12" s="14">
        <v>2.6</v>
      </c>
      <c r="G12" s="14">
        <v>2.7</v>
      </c>
      <c r="H12" s="14">
        <v>2.6120000000000001</v>
      </c>
      <c r="I12" s="14">
        <v>1.9</v>
      </c>
      <c r="J12" s="14">
        <v>2</v>
      </c>
      <c r="K12" s="14">
        <v>2</v>
      </c>
      <c r="L12" s="209">
        <v>0.5</v>
      </c>
      <c r="M12" s="212" t="s">
        <v>35</v>
      </c>
      <c r="N12" s="40" t="s">
        <v>72</v>
      </c>
      <c r="O12" s="14">
        <v>2.8</v>
      </c>
      <c r="P12" s="14">
        <v>4.8</v>
      </c>
      <c r="Q12" s="14">
        <v>4.7</v>
      </c>
      <c r="R12" s="14">
        <v>4.4000000000000004</v>
      </c>
      <c r="S12" s="14">
        <v>2.2000000000000002</v>
      </c>
      <c r="T12" s="14">
        <v>9.4</v>
      </c>
      <c r="U12" s="14">
        <f>0.42+0.46+1.1+1.2</f>
        <v>3.1799999999999997</v>
      </c>
      <c r="V12" s="14">
        <f>1.1+0.415+1.216+2.835+1.2</f>
        <v>6.766</v>
      </c>
      <c r="W12" s="14">
        <f>1.328+0.303+1.217+1.2</f>
        <v>4.048</v>
      </c>
      <c r="X12" s="14">
        <v>0</v>
      </c>
      <c r="Y12" s="209">
        <v>0.5</v>
      </c>
      <c r="Z12" s="212">
        <v>0</v>
      </c>
      <c r="AA12" s="14"/>
      <c r="AB12" s="38"/>
      <c r="AF12" s="14"/>
      <c r="AG12" s="14"/>
      <c r="AS12" s="14"/>
      <c r="AT12" s="14"/>
      <c r="BB12" s="199"/>
      <c r="BI12" s="157"/>
      <c r="BJ12" s="157"/>
      <c r="BK12" s="14"/>
      <c r="BL12" s="14"/>
      <c r="BM12" s="14"/>
      <c r="BN12" s="14"/>
      <c r="BO12" s="16"/>
      <c r="BS12" s="14"/>
      <c r="BT12" s="14"/>
    </row>
    <row r="13" spans="1:79" ht="31">
      <c r="A13" s="16" t="s">
        <v>73</v>
      </c>
      <c r="B13" s="14">
        <v>4.4000000000000004</v>
      </c>
      <c r="C13" s="14">
        <v>4.4000000000000004</v>
      </c>
      <c r="D13" s="14">
        <v>4.4000000000000004</v>
      </c>
      <c r="E13" s="14">
        <v>4.2</v>
      </c>
      <c r="F13" s="14">
        <v>4.5999999999999996</v>
      </c>
      <c r="G13" s="14">
        <v>4.45</v>
      </c>
      <c r="H13" s="14">
        <v>0.91600000000000004</v>
      </c>
      <c r="I13" s="14">
        <v>3.8</v>
      </c>
      <c r="J13" s="14">
        <v>3.9</v>
      </c>
      <c r="K13" s="14">
        <v>3.2</v>
      </c>
      <c r="L13" s="209">
        <v>0</v>
      </c>
      <c r="M13" s="212" t="s">
        <v>35</v>
      </c>
      <c r="N13" s="40" t="s">
        <v>74</v>
      </c>
      <c r="O13" s="14">
        <v>91.8</v>
      </c>
      <c r="P13" s="14">
        <v>90.3</v>
      </c>
      <c r="Q13" s="14">
        <v>94.8</v>
      </c>
      <c r="R13" s="14">
        <v>95</v>
      </c>
      <c r="S13" s="14">
        <v>97.6</v>
      </c>
      <c r="T13" s="14">
        <v>110.5</v>
      </c>
      <c r="U13" s="14">
        <f>15+4.7+0.5+3.8+9.9+63.9+3.2</f>
        <v>101</v>
      </c>
      <c r="V13" s="14">
        <f>15+4.7+0.5+0+3.8+9.9+63.9+0+3.2+0+0</f>
        <v>101</v>
      </c>
      <c r="W13" s="14">
        <f>14.8+5+0.8+5+24.3+52.7+0.8</f>
        <v>103.4</v>
      </c>
      <c r="X13" s="14">
        <f>15+4.7+0.5+3.8+18+60+1</f>
        <v>103</v>
      </c>
      <c r="Y13" s="209">
        <f>3.7+0.3+1.7</f>
        <v>5.7</v>
      </c>
      <c r="Z13" s="212" t="s">
        <v>75</v>
      </c>
      <c r="AA13" s="14"/>
      <c r="AB13" s="38"/>
      <c r="AF13" s="14"/>
      <c r="AG13" s="14"/>
      <c r="AS13" s="14"/>
      <c r="AT13" s="14"/>
      <c r="BB13" s="202" t="s">
        <v>76</v>
      </c>
      <c r="BC13" s="20" t="s">
        <v>54</v>
      </c>
      <c r="BD13" s="20" t="s">
        <v>55</v>
      </c>
      <c r="BE13" s="20" t="s">
        <v>56</v>
      </c>
      <c r="BF13" s="20" t="s">
        <v>57</v>
      </c>
      <c r="BG13" s="20" t="s">
        <v>58</v>
      </c>
      <c r="BH13" s="73" t="s">
        <v>59</v>
      </c>
      <c r="BI13" s="73" t="s">
        <v>60</v>
      </c>
      <c r="BJ13" s="73" t="s">
        <v>61</v>
      </c>
      <c r="BK13" s="14"/>
      <c r="BL13" s="14"/>
      <c r="BM13" s="14"/>
      <c r="BN13" s="14"/>
      <c r="BO13" s="65" t="s">
        <v>53</v>
      </c>
      <c r="BP13" s="20" t="s">
        <v>54</v>
      </c>
      <c r="BQ13" s="20" t="s">
        <v>55</v>
      </c>
      <c r="BR13" s="20" t="s">
        <v>56</v>
      </c>
      <c r="BS13" s="20" t="s">
        <v>57</v>
      </c>
      <c r="BT13" s="20" t="s">
        <v>58</v>
      </c>
      <c r="BU13" s="20" t="s">
        <v>59</v>
      </c>
      <c r="BV13" s="20" t="s">
        <v>60</v>
      </c>
      <c r="BW13" s="163" t="s">
        <v>61</v>
      </c>
    </row>
    <row r="14" spans="1:79" ht="15.5">
      <c r="A14" s="16" t="s">
        <v>77</v>
      </c>
      <c r="B14" s="14">
        <v>2.2999999999999998</v>
      </c>
      <c r="C14" s="14">
        <v>1.5</v>
      </c>
      <c r="D14" s="14">
        <v>1.5</v>
      </c>
      <c r="E14" s="14">
        <v>1.5</v>
      </c>
      <c r="F14" s="14">
        <v>1.4</v>
      </c>
      <c r="G14" s="14">
        <v>1.4</v>
      </c>
      <c r="H14" s="14">
        <v>1.6719999999999999</v>
      </c>
      <c r="I14" s="14">
        <v>1.8</v>
      </c>
      <c r="J14" s="14">
        <v>1.6</v>
      </c>
      <c r="K14" s="14">
        <v>1.8</v>
      </c>
      <c r="L14" s="209">
        <v>1</v>
      </c>
      <c r="M14" s="212" t="s">
        <v>35</v>
      </c>
      <c r="N14" s="40" t="s">
        <v>78</v>
      </c>
      <c r="O14" s="14">
        <v>4.2</v>
      </c>
      <c r="P14" s="14">
        <v>4.8</v>
      </c>
      <c r="Q14" s="14">
        <v>4.8</v>
      </c>
      <c r="R14" s="14">
        <v>5.3</v>
      </c>
      <c r="S14" s="14">
        <v>5.3</v>
      </c>
      <c r="T14" s="14">
        <v>5.7</v>
      </c>
      <c r="U14" s="14">
        <f>1.02+0.35+0.18+12.63+1.11</f>
        <v>15.290000000000001</v>
      </c>
      <c r="V14" s="14">
        <f>1.016+0.404+0.175+2.226+0.817</f>
        <v>4.6379999999999999</v>
      </c>
      <c r="W14" s="14">
        <f>1.016+0.441+0.175+2.278+0.779</f>
        <v>4.6890000000000001</v>
      </c>
      <c r="X14" s="14">
        <f>1.016+0.441+0.175+2.278+0.792</f>
        <v>4.702</v>
      </c>
      <c r="Y14" s="209">
        <v>0</v>
      </c>
      <c r="Z14" s="212">
        <v>0</v>
      </c>
      <c r="AA14" s="14"/>
      <c r="AB14" s="38"/>
      <c r="AF14" s="14"/>
      <c r="AG14" s="14"/>
      <c r="AS14" s="14"/>
      <c r="AT14" s="14"/>
      <c r="BB14" s="199"/>
      <c r="BC14" s="63" t="s">
        <v>18</v>
      </c>
      <c r="BD14" s="63" t="s">
        <v>18</v>
      </c>
      <c r="BE14" s="63" t="s">
        <v>18</v>
      </c>
      <c r="BF14" s="63" t="s">
        <v>18</v>
      </c>
      <c r="BG14" s="63" t="s">
        <v>18</v>
      </c>
      <c r="BH14" s="63">
        <f>(BJ6-BI6)/BI6</f>
        <v>4.1375000000000002</v>
      </c>
      <c r="BI14" s="63">
        <f>(BK6-BJ6)/BJ6</f>
        <v>2.6763990267639762E-2</v>
      </c>
      <c r="BJ14" s="63">
        <f>(BL6-BK6)/BK6</f>
        <v>-0.76303317535545023</v>
      </c>
      <c r="BK14" s="14"/>
      <c r="BL14" s="14"/>
      <c r="BM14" s="14"/>
      <c r="BN14" s="14"/>
      <c r="BP14" s="63">
        <f>(BR6-BQ6)/BQ6</f>
        <v>-4.8661800486618001E-2</v>
      </c>
      <c r="BQ14" s="63">
        <f t="shared" ref="BQ14:BT14" si="13">(BS6-BR6)/BR6</f>
        <v>-8.6956521739130391E-2</v>
      </c>
      <c r="BR14" s="63">
        <f t="shared" si="13"/>
        <v>-2.5210084033613602E-2</v>
      </c>
      <c r="BS14" s="63">
        <f t="shared" si="13"/>
        <v>-0.37068965517241376</v>
      </c>
      <c r="BT14" s="63">
        <f t="shared" si="13"/>
        <v>0.70091324200913252</v>
      </c>
      <c r="BU14" s="63">
        <f>(BW6-BV6)/BV6</f>
        <v>-3.2214765100671214E-2</v>
      </c>
      <c r="BV14" s="63">
        <f>(BX6-BW6)/BW6</f>
        <v>0.13592233009708735</v>
      </c>
      <c r="BW14" s="162">
        <f>(BY6-BX6)/BX6</f>
        <v>-0.11975579975579968</v>
      </c>
    </row>
    <row r="15" spans="1:79" ht="15.5">
      <c r="A15" s="16" t="s">
        <v>79</v>
      </c>
      <c r="B15" s="14">
        <v>5</v>
      </c>
      <c r="C15" s="14">
        <v>6</v>
      </c>
      <c r="D15" s="14">
        <v>6</v>
      </c>
      <c r="E15" s="14">
        <v>6</v>
      </c>
      <c r="F15" s="14">
        <v>6</v>
      </c>
      <c r="G15" s="14">
        <v>6</v>
      </c>
      <c r="H15" s="14">
        <v>9</v>
      </c>
      <c r="I15" s="14">
        <v>9.6</v>
      </c>
      <c r="J15" s="14">
        <v>9.6</v>
      </c>
      <c r="K15" s="14">
        <v>9.6</v>
      </c>
      <c r="L15" s="209">
        <v>15</v>
      </c>
      <c r="M15" s="212" t="s">
        <v>35</v>
      </c>
      <c r="N15" s="40" t="s">
        <v>80</v>
      </c>
      <c r="O15" s="14">
        <v>0.2</v>
      </c>
      <c r="P15" s="14">
        <v>0.2</v>
      </c>
      <c r="Q15" s="14">
        <v>0.2</v>
      </c>
      <c r="R15" s="14">
        <v>0</v>
      </c>
      <c r="S15" s="14">
        <v>0</v>
      </c>
      <c r="T15" s="14">
        <v>0.2</v>
      </c>
      <c r="U15" s="14">
        <v>0.2</v>
      </c>
      <c r="V15" s="14">
        <v>0.2</v>
      </c>
      <c r="W15" s="14">
        <v>5.1999999999999998E-2</v>
      </c>
      <c r="X15" s="14">
        <v>5.5E-2</v>
      </c>
      <c r="Y15" s="209">
        <v>0</v>
      </c>
      <c r="Z15" s="212">
        <v>0</v>
      </c>
      <c r="AA15" s="14"/>
      <c r="AB15" s="38"/>
      <c r="AF15" s="14"/>
      <c r="AG15" s="14"/>
      <c r="AS15" s="14"/>
      <c r="AT15" s="14"/>
      <c r="BB15" s="14"/>
      <c r="BC15" s="14"/>
      <c r="BD15" s="14"/>
      <c r="BE15" s="14"/>
      <c r="BF15" s="14"/>
      <c r="BG15" s="14"/>
      <c r="BH15" s="14"/>
      <c r="BI15" s="14"/>
      <c r="BJ15" s="14"/>
      <c r="BK15" s="14"/>
      <c r="BL15" s="14"/>
      <c r="BM15" s="14"/>
      <c r="BN15" s="14"/>
      <c r="BS15" s="14"/>
      <c r="BT15" s="14"/>
    </row>
    <row r="16" spans="1:79" ht="31">
      <c r="A16" s="16" t="s">
        <v>81</v>
      </c>
      <c r="B16" s="14">
        <v>5</v>
      </c>
      <c r="C16" s="14">
        <v>6</v>
      </c>
      <c r="D16" s="14">
        <v>6</v>
      </c>
      <c r="E16" s="14">
        <v>6</v>
      </c>
      <c r="F16" s="14">
        <v>6</v>
      </c>
      <c r="G16" s="14">
        <v>6</v>
      </c>
      <c r="H16" s="14">
        <v>9</v>
      </c>
      <c r="I16" s="14">
        <v>9.6</v>
      </c>
      <c r="J16" s="14">
        <v>9.6</v>
      </c>
      <c r="K16" s="14">
        <v>9.6</v>
      </c>
      <c r="L16" s="209">
        <v>10</v>
      </c>
      <c r="M16" s="212" t="s">
        <v>35</v>
      </c>
      <c r="N16" s="38"/>
      <c r="T16"/>
      <c r="AB16" s="38"/>
      <c r="AF16" s="14"/>
      <c r="AG16" s="14"/>
      <c r="AS16" s="14"/>
      <c r="AT16" s="14"/>
      <c r="BB16" s="14"/>
      <c r="BC16" s="14"/>
      <c r="BD16" s="14"/>
      <c r="BE16" s="14"/>
      <c r="BF16" s="14"/>
      <c r="BG16" s="14"/>
      <c r="BH16" s="14"/>
      <c r="BI16" s="14"/>
      <c r="BJ16" s="14"/>
      <c r="BK16" s="14"/>
      <c r="BL16" s="14"/>
      <c r="BM16" s="14"/>
      <c r="BN16" s="14"/>
      <c r="BS16" s="14"/>
      <c r="BT16" s="14"/>
      <c r="BX16" s="161"/>
      <c r="BZ16" s="161"/>
    </row>
    <row r="17" spans="1:78" ht="31">
      <c r="A17" s="16" t="s">
        <v>82</v>
      </c>
      <c r="B17" s="14">
        <v>30.5</v>
      </c>
      <c r="C17" s="14">
        <v>30.9</v>
      </c>
      <c r="D17" s="14">
        <v>30.9</v>
      </c>
      <c r="E17" s="14">
        <v>30.9</v>
      </c>
      <c r="F17" s="14">
        <v>30.9</v>
      </c>
      <c r="G17" s="14">
        <v>30.9</v>
      </c>
      <c r="H17" s="14">
        <v>36.374000000000002</v>
      </c>
      <c r="I17" s="14">
        <v>36.799999999999997</v>
      </c>
      <c r="J17" s="14">
        <v>36.5</v>
      </c>
      <c r="K17" s="14">
        <v>38.700000000000003</v>
      </c>
      <c r="L17" s="209">
        <v>15</v>
      </c>
      <c r="M17" s="277" t="s">
        <v>35</v>
      </c>
      <c r="N17" s="276" t="s">
        <v>53</v>
      </c>
      <c r="O17" s="20" t="s">
        <v>54</v>
      </c>
      <c r="P17" s="20" t="s">
        <v>55</v>
      </c>
      <c r="Q17" s="20" t="s">
        <v>56</v>
      </c>
      <c r="R17" s="20" t="s">
        <v>57</v>
      </c>
      <c r="S17" s="20" t="s">
        <v>58</v>
      </c>
      <c r="T17" s="20" t="s">
        <v>59</v>
      </c>
      <c r="U17" s="20" t="s">
        <v>60</v>
      </c>
      <c r="V17" s="20" t="s">
        <v>61</v>
      </c>
      <c r="W17" s="20"/>
      <c r="X17" s="20"/>
      <c r="Y17" s="20"/>
      <c r="Z17" s="20"/>
      <c r="AA17" s="20"/>
      <c r="AB17" s="38"/>
      <c r="AF17" s="14"/>
      <c r="AG17" s="14"/>
      <c r="AS17" s="14"/>
      <c r="AT17" s="14"/>
      <c r="BB17" s="14"/>
      <c r="BC17" s="14"/>
      <c r="BD17" s="14"/>
      <c r="BE17" s="14"/>
      <c r="BF17" s="14"/>
      <c r="BG17" s="14"/>
      <c r="BH17" s="14"/>
      <c r="BI17" s="14"/>
      <c r="BJ17" s="14"/>
      <c r="BK17" s="14"/>
      <c r="BL17" s="14"/>
      <c r="BM17" s="14"/>
      <c r="BN17" s="14"/>
      <c r="BS17" s="14"/>
      <c r="BT17" s="14"/>
      <c r="BX17" s="161"/>
      <c r="BZ17" s="161"/>
    </row>
    <row r="18" spans="1:78" ht="15.5">
      <c r="A18" s="23" t="s">
        <v>83</v>
      </c>
      <c r="B18" s="37">
        <f>SUM(B19:B23)</f>
        <v>113.5</v>
      </c>
      <c r="C18" s="37">
        <f t="shared" ref="C18:I18" si="14">SUM(C19:C23)</f>
        <v>112.84</v>
      </c>
      <c r="D18" s="37">
        <f t="shared" si="14"/>
        <v>123.13</v>
      </c>
      <c r="E18" s="37">
        <f t="shared" si="14"/>
        <v>122.4</v>
      </c>
      <c r="F18" s="37">
        <f t="shared" si="14"/>
        <v>144.91999999999999</v>
      </c>
      <c r="G18" s="37">
        <f t="shared" si="14"/>
        <v>120.46000000000001</v>
      </c>
      <c r="H18" s="37">
        <f t="shared" si="14"/>
        <v>142.64099999999999</v>
      </c>
      <c r="I18" s="37">
        <f t="shared" si="14"/>
        <v>146.80000000000001</v>
      </c>
      <c r="J18" s="37">
        <f>SUM(J19:J23)</f>
        <v>110.1</v>
      </c>
      <c r="K18" s="160">
        <f>SUM(K19:K23)</f>
        <v>102.5</v>
      </c>
      <c r="L18" s="208">
        <f>SUM(L19:L23)</f>
        <v>142.27600000000001</v>
      </c>
      <c r="M18" s="211">
        <f>SUM(M19:M23)</f>
        <v>0</v>
      </c>
      <c r="N18" s="38"/>
      <c r="O18" s="63">
        <f t="shared" ref="O18:S18" si="15">(Q6-P6)/P6</f>
        <v>3.0788967286722334E-2</v>
      </c>
      <c r="P18" s="63">
        <f t="shared" si="15"/>
        <v>-5.7125077784691843E-2</v>
      </c>
      <c r="Q18" s="63">
        <f t="shared" si="15"/>
        <v>6.9297782470959801E-3</v>
      </c>
      <c r="R18" s="63">
        <f t="shared" si="15"/>
        <v>0.14118109720128461</v>
      </c>
      <c r="S18" s="63">
        <f t="shared" si="15"/>
        <v>-3.2490953994601175E-2</v>
      </c>
      <c r="T18" s="63">
        <f>(V6-U6)/U6</f>
        <v>-4.0456388428819733E-2</v>
      </c>
      <c r="U18" s="63">
        <f>(W6-V6)/V6</f>
        <v>-1.8250658879719862E-3</v>
      </c>
      <c r="V18" s="63">
        <f>(X6-W6)/W6</f>
        <v>0.23650855630551076</v>
      </c>
      <c r="AB18" s="38"/>
      <c r="AF18" s="14"/>
      <c r="AG18" s="14"/>
      <c r="AS18" s="14"/>
      <c r="AT18" s="14"/>
      <c r="BB18" s="14"/>
      <c r="BC18" s="14"/>
      <c r="BD18" s="14"/>
      <c r="BE18" s="14"/>
      <c r="BF18" s="14"/>
      <c r="BG18" s="14"/>
      <c r="BH18" s="14"/>
      <c r="BI18" s="14"/>
      <c r="BJ18" s="14"/>
      <c r="BK18" s="14"/>
      <c r="BL18" s="14"/>
      <c r="BM18" s="14"/>
      <c r="BN18" s="14"/>
      <c r="BS18" s="14"/>
      <c r="BT18" s="14"/>
      <c r="BX18" s="161"/>
      <c r="BZ18" s="161"/>
    </row>
    <row r="19" spans="1:78" ht="31">
      <c r="A19" s="16" t="s">
        <v>84</v>
      </c>
      <c r="B19" s="14">
        <v>7.1</v>
      </c>
      <c r="C19" s="14">
        <v>7.1</v>
      </c>
      <c r="D19" s="14">
        <v>8.1999999999999993</v>
      </c>
      <c r="E19" s="14">
        <v>8.4</v>
      </c>
      <c r="F19" s="14">
        <v>8.5</v>
      </c>
      <c r="G19" s="14">
        <v>8.4</v>
      </c>
      <c r="H19" s="14">
        <v>8.6999999999999993</v>
      </c>
      <c r="I19" s="14">
        <v>8.9</v>
      </c>
      <c r="J19" s="14">
        <v>8.9</v>
      </c>
      <c r="K19" s="14">
        <v>7.4</v>
      </c>
      <c r="L19" s="209">
        <v>0</v>
      </c>
      <c r="M19" s="212" t="s">
        <v>35</v>
      </c>
      <c r="N19" s="38"/>
      <c r="R19" s="14"/>
      <c r="S19" s="14"/>
      <c r="T19"/>
      <c r="AB19" s="38"/>
      <c r="AF19" s="14"/>
      <c r="AG19" s="14"/>
      <c r="AS19" s="14"/>
      <c r="AT19" s="14"/>
      <c r="BB19" s="14"/>
      <c r="BC19" s="14"/>
      <c r="BD19" s="14"/>
      <c r="BE19" s="14"/>
      <c r="BF19" s="14"/>
      <c r="BG19" s="14"/>
      <c r="BH19" s="14"/>
      <c r="BI19" s="14"/>
      <c r="BJ19" s="14"/>
      <c r="BK19" s="14"/>
      <c r="BL19" s="14"/>
      <c r="BM19" s="14"/>
      <c r="BN19" s="14"/>
      <c r="BS19" s="14"/>
      <c r="BT19" s="14"/>
      <c r="BX19" s="70"/>
      <c r="BZ19" s="70"/>
    </row>
    <row r="20" spans="1:78" ht="31">
      <c r="A20" s="16" t="s">
        <v>85</v>
      </c>
      <c r="B20" s="14">
        <v>10.6</v>
      </c>
      <c r="C20" s="14">
        <v>10</v>
      </c>
      <c r="D20" s="14">
        <v>11.4</v>
      </c>
      <c r="E20" s="14">
        <v>11.3</v>
      </c>
      <c r="F20" s="14">
        <v>11.3</v>
      </c>
      <c r="G20" s="14">
        <v>11.2</v>
      </c>
      <c r="H20" s="14">
        <v>11.141</v>
      </c>
      <c r="I20" s="14">
        <v>11.5</v>
      </c>
      <c r="J20" s="14">
        <v>11.6</v>
      </c>
      <c r="K20" s="14">
        <v>9.5</v>
      </c>
      <c r="L20" s="209">
        <v>0</v>
      </c>
      <c r="M20" s="212" t="s">
        <v>35</v>
      </c>
      <c r="N20" s="38"/>
      <c r="R20" s="14"/>
      <c r="S20" s="14"/>
      <c r="T20"/>
      <c r="U20" s="71"/>
      <c r="V20" s="71"/>
      <c r="AB20" s="38"/>
      <c r="AF20" s="14"/>
      <c r="AG20" s="14"/>
      <c r="AS20" s="14"/>
      <c r="AT20" s="14"/>
      <c r="BB20" s="14"/>
      <c r="BC20" s="14"/>
      <c r="BD20" s="14"/>
      <c r="BE20" s="14"/>
      <c r="BF20" s="14"/>
      <c r="BG20" s="14"/>
      <c r="BH20" s="14"/>
      <c r="BI20" s="14"/>
      <c r="BJ20" s="14"/>
      <c r="BK20" s="14"/>
      <c r="BL20" s="14"/>
      <c r="BM20" s="14"/>
      <c r="BN20" s="14"/>
      <c r="BS20" s="14"/>
      <c r="BT20" s="14"/>
      <c r="BX20" s="161"/>
      <c r="BZ20" s="161"/>
    </row>
    <row r="21" spans="1:78" ht="31">
      <c r="A21" s="16" t="s">
        <v>86</v>
      </c>
      <c r="B21" s="14">
        <v>0.1</v>
      </c>
      <c r="C21" s="15">
        <v>0.04</v>
      </c>
      <c r="D21" s="15">
        <v>0.03</v>
      </c>
      <c r="E21" s="15">
        <v>0</v>
      </c>
      <c r="F21" s="15">
        <v>0.82</v>
      </c>
      <c r="G21" s="15">
        <v>0.86</v>
      </c>
      <c r="H21" s="15">
        <v>0.8</v>
      </c>
      <c r="I21" s="15">
        <v>0.9</v>
      </c>
      <c r="J21" s="14">
        <v>0.9</v>
      </c>
      <c r="K21" s="14">
        <v>0</v>
      </c>
      <c r="L21" s="209">
        <v>0</v>
      </c>
      <c r="M21" s="212" t="s">
        <v>35</v>
      </c>
      <c r="N21" s="38"/>
      <c r="R21" s="14"/>
      <c r="S21" s="14"/>
      <c r="T21"/>
      <c r="U21" s="71"/>
      <c r="V21" s="71"/>
      <c r="AB21" s="38"/>
      <c r="AF21" s="15"/>
      <c r="AG21" s="15"/>
      <c r="AS21" s="15"/>
      <c r="AT21" s="15"/>
      <c r="BB21" s="14"/>
      <c r="BC21" s="14"/>
      <c r="BD21" s="14"/>
      <c r="BE21" s="14"/>
      <c r="BF21" s="14"/>
      <c r="BG21" s="14"/>
      <c r="BH21" s="14"/>
      <c r="BI21" s="14"/>
      <c r="BJ21" s="14"/>
      <c r="BK21" s="15"/>
      <c r="BL21" s="15"/>
      <c r="BM21" s="15"/>
      <c r="BN21" s="15"/>
      <c r="BS21" s="15"/>
      <c r="BT21" s="15"/>
      <c r="BX21" s="71"/>
      <c r="BZ21" s="71"/>
    </row>
    <row r="22" spans="1:78" ht="31">
      <c r="A22" s="16" t="s">
        <v>87</v>
      </c>
      <c r="B22" s="14">
        <v>95.7</v>
      </c>
      <c r="C22" s="14">
        <v>95.7</v>
      </c>
      <c r="D22" s="14">
        <v>103.5</v>
      </c>
      <c r="E22" s="14">
        <v>102.7</v>
      </c>
      <c r="F22" s="14">
        <v>124.3</v>
      </c>
      <c r="G22" s="14">
        <v>100</v>
      </c>
      <c r="H22" s="14">
        <v>122</v>
      </c>
      <c r="I22" s="14">
        <v>122</v>
      </c>
      <c r="J22" s="14">
        <v>88.7</v>
      </c>
      <c r="K22" s="14">
        <v>85.6</v>
      </c>
      <c r="L22" s="209">
        <v>142.27600000000001</v>
      </c>
      <c r="M22" s="212" t="s">
        <v>35</v>
      </c>
      <c r="N22" s="38"/>
      <c r="R22" s="15"/>
      <c r="S22" s="15"/>
      <c r="T22"/>
      <c r="U22" s="72"/>
      <c r="V22" s="72"/>
      <c r="AB22" s="41"/>
      <c r="AC22" s="5"/>
      <c r="AD22" s="5"/>
      <c r="AE22" s="5"/>
      <c r="AF22" s="14"/>
      <c r="AG22" s="14"/>
      <c r="AH22" s="5"/>
      <c r="AI22" s="5"/>
      <c r="AJ22" s="5"/>
      <c r="AK22" s="5"/>
      <c r="AL22" s="5"/>
      <c r="AM22" s="5"/>
      <c r="AN22" s="5"/>
      <c r="AS22" s="14"/>
      <c r="AT22" s="14"/>
      <c r="BB22" s="14"/>
      <c r="BC22" s="14"/>
      <c r="BD22" s="14"/>
      <c r="BE22" s="14"/>
      <c r="BF22" s="14"/>
      <c r="BG22" s="14"/>
      <c r="BH22" s="14"/>
      <c r="BI22" s="14"/>
      <c r="BJ22" s="14"/>
      <c r="BK22" s="14"/>
      <c r="BL22" s="14"/>
      <c r="BM22" s="14"/>
      <c r="BN22" s="14"/>
      <c r="BS22" s="14"/>
      <c r="BT22" s="14"/>
      <c r="BX22" s="71"/>
      <c r="BZ22" s="71"/>
    </row>
    <row r="23" spans="1:78" ht="46.5">
      <c r="A23" s="16" t="s">
        <v>88</v>
      </c>
      <c r="B23" s="14">
        <v>0</v>
      </c>
      <c r="C23" s="14">
        <v>0</v>
      </c>
      <c r="D23" s="14">
        <v>0</v>
      </c>
      <c r="E23" s="14">
        <v>0</v>
      </c>
      <c r="F23" s="14">
        <v>0</v>
      </c>
      <c r="G23" s="14">
        <v>0</v>
      </c>
      <c r="H23" s="14">
        <v>0</v>
      </c>
      <c r="I23" s="14">
        <v>3.5</v>
      </c>
      <c r="J23" s="14">
        <v>0</v>
      </c>
      <c r="K23" s="14">
        <v>0</v>
      </c>
      <c r="L23" s="209">
        <v>0</v>
      </c>
      <c r="M23" s="212" t="s">
        <v>35</v>
      </c>
      <c r="N23" s="38"/>
      <c r="R23" s="14"/>
      <c r="S23" s="14"/>
      <c r="T23"/>
      <c r="U23" s="71"/>
      <c r="V23" s="71"/>
      <c r="AB23" s="38"/>
      <c r="AF23" s="12"/>
      <c r="AG23" s="12"/>
      <c r="AS23" s="12"/>
      <c r="AT23" s="12"/>
      <c r="BB23" s="14"/>
      <c r="BC23" s="14"/>
      <c r="BD23" s="14"/>
      <c r="BE23" s="14"/>
      <c r="BF23" s="14"/>
      <c r="BG23" s="14"/>
      <c r="BH23" s="14"/>
      <c r="BI23" s="14"/>
      <c r="BJ23" s="14"/>
      <c r="BK23" s="12"/>
      <c r="BL23" s="12"/>
      <c r="BM23" s="12"/>
      <c r="BN23" s="12"/>
      <c r="BS23" s="12"/>
      <c r="BT23" s="12"/>
      <c r="BX23" s="71"/>
      <c r="BZ23" s="71"/>
    </row>
    <row r="24" spans="1:78" ht="15.5">
      <c r="E24" s="13"/>
      <c r="F24" s="13"/>
      <c r="G24" s="13"/>
      <c r="H24" s="13"/>
      <c r="I24" s="13"/>
      <c r="J24" s="13"/>
      <c r="K24" s="13"/>
      <c r="M24" s="13"/>
      <c r="N24" s="38"/>
      <c r="R24" s="12"/>
      <c r="S24" s="12"/>
      <c r="T24"/>
      <c r="U24" s="72"/>
      <c r="V24" s="72"/>
      <c r="AB24" s="38"/>
      <c r="AF24" s="13"/>
      <c r="AG24" s="13"/>
      <c r="AS24" s="13"/>
      <c r="AT24" s="13"/>
      <c r="BB24" s="14"/>
      <c r="BC24" s="14"/>
      <c r="BD24" s="14"/>
      <c r="BE24" s="14"/>
      <c r="BF24" s="14"/>
      <c r="BG24" s="14"/>
      <c r="BH24" s="14"/>
      <c r="BI24" s="14"/>
      <c r="BJ24" s="14"/>
      <c r="BK24" s="13"/>
      <c r="BL24" s="13"/>
      <c r="BM24" s="13"/>
      <c r="BN24" s="13"/>
      <c r="BS24" s="13"/>
      <c r="BT24" s="13"/>
    </row>
    <row r="25" spans="1:78" ht="15.5">
      <c r="A25" s="65" t="s">
        <v>53</v>
      </c>
      <c r="B25" s="20" t="s">
        <v>54</v>
      </c>
      <c r="C25" s="20" t="s">
        <v>55</v>
      </c>
      <c r="D25" s="20" t="s">
        <v>56</v>
      </c>
      <c r="E25" s="20" t="s">
        <v>57</v>
      </c>
      <c r="F25" s="20" t="s">
        <v>58</v>
      </c>
      <c r="G25" s="69" t="s">
        <v>59</v>
      </c>
      <c r="H25" s="69" t="s">
        <v>60</v>
      </c>
      <c r="I25" s="69" t="s">
        <v>61</v>
      </c>
      <c r="J25" s="12"/>
      <c r="K25" s="12"/>
      <c r="M25" s="12"/>
      <c r="N25" s="38"/>
      <c r="R25" s="13"/>
      <c r="S25" s="13"/>
      <c r="T25"/>
      <c r="U25" s="72"/>
      <c r="V25" s="72"/>
      <c r="AB25" s="38"/>
      <c r="AF25" s="12"/>
      <c r="AG25" s="12"/>
      <c r="AS25" s="12"/>
      <c r="AT25" s="12"/>
      <c r="BB25" s="15"/>
      <c r="BC25" s="15"/>
      <c r="BD25" s="15"/>
      <c r="BE25" s="15"/>
      <c r="BF25" s="15"/>
      <c r="BG25" s="15"/>
      <c r="BH25" s="15"/>
      <c r="BI25" s="15"/>
      <c r="BJ25" s="15"/>
      <c r="BK25" s="12"/>
      <c r="BL25" s="12"/>
      <c r="BM25" s="12"/>
      <c r="BN25" s="12"/>
      <c r="BS25" s="12"/>
      <c r="BT25" s="12"/>
    </row>
    <row r="26" spans="1:78" ht="15.5">
      <c r="A26" s="38"/>
      <c r="B26" s="63">
        <f>(D6-C6)/C6</f>
        <v>5.5370210934136847E-2</v>
      </c>
      <c r="C26" s="63">
        <f t="shared" ref="C26:E26" si="16">(E6-D6)/D6</f>
        <v>-4.231887013715312E-3</v>
      </c>
      <c r="D26" s="63">
        <f t="shared" si="16"/>
        <v>0.11582181259600602</v>
      </c>
      <c r="E26" s="63">
        <f t="shared" si="16"/>
        <v>-0.11247246696035239</v>
      </c>
      <c r="F26" s="63">
        <f>(H6-G6)/G6</f>
        <v>0.17698671216586523</v>
      </c>
      <c r="G26" s="63">
        <f>(I6-H6)/H6</f>
        <v>2.8812911558111352E-2</v>
      </c>
      <c r="H26" s="63">
        <f>(J6-I6)/I6</f>
        <v>-0.15414175918018796</v>
      </c>
      <c r="I26" s="159">
        <f>(K6-J6)/J6</f>
        <v>-2.5744573447753633E-2</v>
      </c>
      <c r="J26" s="12"/>
      <c r="K26" s="12"/>
      <c r="M26" s="12"/>
      <c r="N26" s="38"/>
      <c r="R26" s="12"/>
      <c r="S26" s="12"/>
      <c r="T26"/>
      <c r="U26" s="72"/>
      <c r="V26" s="72"/>
      <c r="AB26" s="38"/>
      <c r="AF26" s="12"/>
      <c r="AG26" s="12"/>
      <c r="AS26" s="12"/>
      <c r="AT26" s="12"/>
      <c r="BB26" s="14"/>
      <c r="BC26" s="14"/>
      <c r="BD26" s="14"/>
      <c r="BE26" s="14"/>
      <c r="BF26" s="14"/>
      <c r="BG26" s="14"/>
      <c r="BH26" s="14"/>
      <c r="BI26" s="14"/>
      <c r="BJ26" s="14"/>
      <c r="BK26" s="12"/>
      <c r="BL26" s="12"/>
      <c r="BM26" s="12"/>
      <c r="BN26" s="12"/>
      <c r="BS26" s="12"/>
      <c r="BT26" s="12"/>
    </row>
    <row r="27" spans="1:78" ht="15.5">
      <c r="A27" s="3"/>
      <c r="B27" s="3"/>
      <c r="C27" s="3"/>
      <c r="D27" s="3"/>
      <c r="E27" s="4"/>
      <c r="F27" s="4"/>
      <c r="G27" s="4"/>
      <c r="H27" s="4"/>
      <c r="I27" s="4"/>
      <c r="J27" s="4"/>
      <c r="K27" s="4"/>
      <c r="M27" s="4"/>
      <c r="N27" s="38"/>
      <c r="R27" s="12"/>
      <c r="S27" s="12"/>
      <c r="T27"/>
      <c r="U27" s="71"/>
      <c r="V27" s="71"/>
      <c r="AB27" s="38"/>
      <c r="AF27" s="4"/>
      <c r="AG27" s="4"/>
      <c r="AS27" s="4"/>
      <c r="AT27" s="4"/>
      <c r="BB27" s="12"/>
      <c r="BC27" s="12"/>
      <c r="BD27" s="12"/>
      <c r="BE27" s="12"/>
      <c r="BF27" s="12"/>
      <c r="BG27" s="12"/>
      <c r="BH27" s="12"/>
      <c r="BI27" s="12"/>
      <c r="BJ27" s="12"/>
      <c r="BK27" s="4"/>
      <c r="BL27" s="4"/>
      <c r="BM27" s="4"/>
      <c r="BN27" s="4"/>
      <c r="BS27" s="4"/>
      <c r="BT27" s="4"/>
    </row>
    <row r="28" spans="1:78" ht="74">
      <c r="A28" s="246" t="s">
        <v>89</v>
      </c>
      <c r="G28"/>
      <c r="R28" s="4"/>
      <c r="S28" s="4"/>
      <c r="T28"/>
      <c r="U28" s="72"/>
      <c r="V28" s="72"/>
      <c r="AB28" s="38"/>
      <c r="BB28" s="13"/>
      <c r="BC28" s="13"/>
      <c r="BD28" s="13"/>
      <c r="BE28" s="13"/>
      <c r="BF28" s="13"/>
      <c r="BG28" s="13"/>
      <c r="BH28" s="13"/>
      <c r="BI28" s="13"/>
      <c r="BJ28" s="13"/>
    </row>
    <row r="29" spans="1:78" ht="15.5">
      <c r="G29"/>
      <c r="T29"/>
      <c r="U29" s="71"/>
      <c r="V29" s="71"/>
      <c r="AB29" s="38"/>
      <c r="BB29" s="12"/>
      <c r="BC29" s="12"/>
      <c r="BD29" s="12"/>
      <c r="BE29" s="12"/>
      <c r="BF29" s="12"/>
      <c r="BG29" s="12"/>
      <c r="BH29" s="12"/>
      <c r="BI29" s="12"/>
      <c r="BJ29" s="12"/>
    </row>
    <row r="30" spans="1:78" ht="15.5">
      <c r="G30"/>
      <c r="T30"/>
      <c r="U30" s="71"/>
      <c r="V30" s="71"/>
      <c r="AB30" s="38"/>
      <c r="BB30" s="12"/>
      <c r="BC30" s="12"/>
      <c r="BD30" s="12"/>
      <c r="BE30" s="12"/>
      <c r="BF30" s="12"/>
      <c r="BG30" s="12"/>
      <c r="BH30" s="12"/>
      <c r="BI30" s="12"/>
      <c r="BJ30" s="12"/>
    </row>
    <row r="31" spans="1:78" ht="15.5">
      <c r="G31"/>
      <c r="T31"/>
      <c r="AB31" s="38"/>
      <c r="BB31" s="4"/>
      <c r="BC31" s="4"/>
      <c r="BD31" s="4"/>
      <c r="BE31" s="4"/>
      <c r="BF31" s="4"/>
      <c r="BG31" s="4"/>
      <c r="BH31" s="4"/>
      <c r="BI31" s="4"/>
      <c r="BJ31" s="4"/>
    </row>
    <row r="32" spans="1:78" ht="15.5">
      <c r="G32"/>
      <c r="T32"/>
      <c r="AB32" s="38"/>
    </row>
    <row r="33" spans="7:28" ht="15.5">
      <c r="G33"/>
      <c r="T33"/>
      <c r="AB33" s="38"/>
    </row>
    <row r="34" spans="7:28" ht="15.5">
      <c r="G34"/>
      <c r="T34"/>
      <c r="AB34" s="38"/>
    </row>
    <row r="35" spans="7:28" ht="15.5">
      <c r="G35"/>
      <c r="T35"/>
      <c r="AB35" s="38"/>
    </row>
    <row r="36" spans="7:28" ht="15.5">
      <c r="G36"/>
      <c r="T36"/>
      <c r="AB36" s="38"/>
    </row>
    <row r="37" spans="7:28" ht="15.5">
      <c r="G37"/>
      <c r="T37"/>
      <c r="AB37" s="38"/>
    </row>
    <row r="38" spans="7:28" ht="15.5">
      <c r="G38"/>
      <c r="T38"/>
      <c r="AB38" s="38"/>
    </row>
    <row r="39" spans="7:28" ht="15.5">
      <c r="G39"/>
      <c r="N39" s="225"/>
      <c r="T39"/>
      <c r="AB39" s="38"/>
    </row>
    <row r="40" spans="7:28" ht="15.5">
      <c r="G40"/>
      <c r="N40" s="225"/>
      <c r="T40"/>
      <c r="AB40" s="38"/>
    </row>
    <row r="41" spans="7:28" ht="15.5">
      <c r="G41"/>
      <c r="N41" s="225"/>
      <c r="T41"/>
      <c r="AB41" s="38"/>
    </row>
    <row r="42" spans="7:28" ht="15.5">
      <c r="G42"/>
      <c r="N42" s="225"/>
      <c r="T42"/>
      <c r="AB42" s="38"/>
    </row>
    <row r="43" spans="7:28" ht="15.5">
      <c r="G43"/>
      <c r="T43"/>
      <c r="AB43" s="38"/>
    </row>
    <row r="44" spans="7:28" ht="15.5">
      <c r="G44"/>
      <c r="T44"/>
      <c r="AB44" s="38"/>
    </row>
    <row r="45" spans="7:28" ht="15.5">
      <c r="G45"/>
      <c r="T45"/>
      <c r="AB45" s="38"/>
    </row>
    <row r="46" spans="7:28" ht="15.5">
      <c r="G46"/>
      <c r="T46"/>
      <c r="AB46" s="38"/>
    </row>
    <row r="47" spans="7:28" ht="15.5">
      <c r="G47"/>
      <c r="T47"/>
      <c r="AB47" s="38"/>
    </row>
    <row r="48" spans="7:28" ht="15.5">
      <c r="G48"/>
      <c r="T48"/>
      <c r="AB48" s="38"/>
    </row>
    <row r="49" spans="7:28" ht="15.5">
      <c r="G49"/>
      <c r="T49"/>
      <c r="AB49" s="38"/>
    </row>
    <row r="50" spans="7:28" ht="15.5">
      <c r="G50"/>
      <c r="T50"/>
      <c r="AB50" s="38"/>
    </row>
    <row r="51" spans="7:28" ht="15.5">
      <c r="G51"/>
      <c r="T51"/>
      <c r="AB51" s="38"/>
    </row>
    <row r="52" spans="7:28" ht="15.5">
      <c r="G52"/>
      <c r="T52"/>
      <c r="AB52" s="38"/>
    </row>
    <row r="53" spans="7:28" ht="15.5">
      <c r="G53"/>
      <c r="T53"/>
      <c r="AB53" s="38"/>
    </row>
    <row r="54" spans="7:28" ht="15.5">
      <c r="G54"/>
      <c r="T54"/>
      <c r="AB54" s="38"/>
    </row>
    <row r="55" spans="7:28" ht="15.5">
      <c r="G55"/>
      <c r="T55"/>
      <c r="AB55" s="38"/>
    </row>
    <row r="56" spans="7:28" ht="15.5">
      <c r="G56"/>
      <c r="T56"/>
      <c r="AB56" s="38"/>
    </row>
    <row r="57" spans="7:28" ht="15.5">
      <c r="G57"/>
      <c r="T57"/>
      <c r="AB57" s="38"/>
    </row>
    <row r="58" spans="7:28" ht="15.5">
      <c r="G58"/>
      <c r="T58"/>
      <c r="AB58" s="38"/>
    </row>
    <row r="59" spans="7:28" ht="15.5">
      <c r="G59"/>
      <c r="T59"/>
      <c r="AB59" s="38"/>
    </row>
    <row r="60" spans="7:28" ht="15.5">
      <c r="G60"/>
      <c r="T60"/>
      <c r="AB60" s="38"/>
    </row>
    <row r="61" spans="7:28" ht="15.5">
      <c r="G61"/>
      <c r="T61"/>
      <c r="AB61" s="38"/>
    </row>
    <row r="62" spans="7:28" ht="15.5">
      <c r="G62"/>
      <c r="T62"/>
      <c r="AB62" s="38"/>
    </row>
    <row r="63" spans="7:28" ht="15.5">
      <c r="G63"/>
      <c r="T63"/>
      <c r="AB63" s="38"/>
    </row>
    <row r="64" spans="7:28" ht="15.5">
      <c r="G64"/>
      <c r="T64"/>
      <c r="AB64" s="38"/>
    </row>
    <row r="65" spans="7:28" ht="15.5">
      <c r="G65"/>
      <c r="T65"/>
      <c r="AB65" s="38"/>
    </row>
    <row r="66" spans="7:28" ht="15.5">
      <c r="G66"/>
      <c r="T66"/>
      <c r="AB66" s="38"/>
    </row>
    <row r="67" spans="7:28" ht="15.5">
      <c r="G67"/>
      <c r="T67"/>
      <c r="AB67" s="38"/>
    </row>
    <row r="68" spans="7:28" ht="15.5">
      <c r="G68"/>
      <c r="T68"/>
      <c r="AB68" s="38"/>
    </row>
    <row r="69" spans="7:28" ht="15.5">
      <c r="G69"/>
      <c r="T69"/>
      <c r="AB69" s="38"/>
    </row>
    <row r="70" spans="7:28" ht="15.5">
      <c r="G70"/>
      <c r="T70"/>
      <c r="AB70" s="38"/>
    </row>
    <row r="71" spans="7:28" ht="15.5">
      <c r="G71"/>
      <c r="T71"/>
      <c r="AB71" s="38"/>
    </row>
    <row r="72" spans="7:28" ht="15.5">
      <c r="G72"/>
      <c r="T72"/>
      <c r="AB72" s="38"/>
    </row>
    <row r="73" spans="7:28" ht="15.5">
      <c r="G73"/>
      <c r="T73"/>
      <c r="AB73" s="38"/>
    </row>
    <row r="74" spans="7:28" ht="15.5">
      <c r="G74"/>
      <c r="T74"/>
      <c r="AB74" s="38"/>
    </row>
    <row r="75" spans="7:28" ht="15.5">
      <c r="G75"/>
      <c r="T75"/>
      <c r="AB75" s="38"/>
    </row>
    <row r="76" spans="7:28" ht="15.5">
      <c r="G76"/>
      <c r="T76"/>
      <c r="AB76" s="38"/>
    </row>
    <row r="77" spans="7:28" ht="15.5">
      <c r="G77"/>
      <c r="T77"/>
      <c r="AB77" s="38"/>
    </row>
    <row r="78" spans="7:28" ht="15.5">
      <c r="T78"/>
    </row>
  </sheetData>
  <mergeCells count="6">
    <mergeCell ref="BZ3:CA4"/>
    <mergeCell ref="L3:M4"/>
    <mergeCell ref="Y3:Z4"/>
    <mergeCell ref="AM3:AN4"/>
    <mergeCell ref="AZ3:BA4"/>
    <mergeCell ref="BM3:BN4"/>
  </mergeCells>
  <phoneticPr fontId="16"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K34"/>
  <sheetViews>
    <sheetView zoomScale="109" zoomScaleNormal="110" zoomScalePageLayoutView="120" workbookViewId="0">
      <selection activeCell="D2" sqref="D2"/>
    </sheetView>
  </sheetViews>
  <sheetFormatPr defaultColWidth="11" defaultRowHeight="15.5"/>
  <cols>
    <col min="1" max="1" width="38.75" customWidth="1"/>
    <col min="2" max="2" width="16.83203125" style="5" customWidth="1"/>
    <col min="3" max="3" width="14.83203125" style="5" customWidth="1"/>
    <col min="4" max="4" width="11.75" style="5" customWidth="1"/>
    <col min="5" max="5" width="13.08203125" style="5" customWidth="1"/>
    <col min="6" max="6" width="13.83203125" style="5" customWidth="1"/>
    <col min="7" max="7" width="11.08203125" style="5" customWidth="1"/>
    <col min="8" max="8" width="12.58203125" customWidth="1"/>
    <col min="9" max="9" width="11" customWidth="1"/>
    <col min="10" max="10" width="11.08203125" customWidth="1"/>
    <col min="12" max="12" width="9" customWidth="1"/>
  </cols>
  <sheetData>
    <row r="1" spans="1:11">
      <c r="A1" s="1" t="s">
        <v>90</v>
      </c>
      <c r="B1" s="6"/>
      <c r="C1" s="6"/>
      <c r="D1" s="6"/>
      <c r="E1" s="6"/>
      <c r="F1" s="6"/>
      <c r="G1" s="6"/>
      <c r="H1" s="5"/>
      <c r="I1" s="5"/>
    </row>
    <row r="2" spans="1:11">
      <c r="A2" t="s">
        <v>91</v>
      </c>
      <c r="B2" s="6"/>
      <c r="C2" s="6"/>
      <c r="D2" s="6"/>
      <c r="E2" s="6"/>
      <c r="F2" s="6"/>
      <c r="G2" s="6"/>
      <c r="H2" s="5"/>
      <c r="I2" s="5"/>
    </row>
    <row r="3" spans="1:11">
      <c r="B3" s="6"/>
      <c r="C3" s="6"/>
      <c r="D3" s="6"/>
      <c r="E3" s="6"/>
      <c r="F3" s="6"/>
      <c r="G3" s="6"/>
      <c r="H3" s="5"/>
      <c r="I3" s="5"/>
    </row>
    <row r="4" spans="1:11" ht="31">
      <c r="A4" s="1"/>
      <c r="B4" s="6" t="s">
        <v>3</v>
      </c>
      <c r="C4" s="6" t="s">
        <v>4</v>
      </c>
      <c r="D4" s="6" t="s">
        <v>5</v>
      </c>
      <c r="E4" s="6" t="s">
        <v>6</v>
      </c>
      <c r="F4" s="6" t="s">
        <v>7</v>
      </c>
      <c r="G4" s="6" t="s">
        <v>8</v>
      </c>
      <c r="H4" s="6" t="s">
        <v>9</v>
      </c>
      <c r="I4" s="6" t="s">
        <v>10</v>
      </c>
      <c r="J4" s="6" t="s">
        <v>11</v>
      </c>
      <c r="K4" s="19" t="s">
        <v>12</v>
      </c>
    </row>
    <row r="5" spans="1:11">
      <c r="A5" s="2" t="s">
        <v>92</v>
      </c>
      <c r="B5" s="5">
        <v>0.8</v>
      </c>
      <c r="C5" s="5">
        <v>0.8</v>
      </c>
      <c r="D5" s="5">
        <v>0.8</v>
      </c>
      <c r="E5" s="5">
        <v>0.8</v>
      </c>
      <c r="F5" s="5">
        <v>0.8</v>
      </c>
      <c r="G5" s="5">
        <v>0.75</v>
      </c>
      <c r="H5" s="5">
        <v>3.65</v>
      </c>
      <c r="I5" s="5">
        <v>2.2999999999999998</v>
      </c>
      <c r="J5" s="5">
        <v>4.0999999999999996</v>
      </c>
      <c r="K5" s="165">
        <v>6.1</v>
      </c>
    </row>
    <row r="6" spans="1:11">
      <c r="A6" t="s">
        <v>93</v>
      </c>
      <c r="B6" s="5">
        <v>28.3</v>
      </c>
      <c r="C6" s="5">
        <v>39.6</v>
      </c>
      <c r="D6" s="5">
        <v>121</v>
      </c>
      <c r="E6" s="5">
        <v>145.30000000000001</v>
      </c>
      <c r="F6" s="5">
        <v>135.69999999999999</v>
      </c>
      <c r="G6" s="5">
        <v>147.6</v>
      </c>
      <c r="H6" s="5">
        <v>125.6</v>
      </c>
      <c r="I6" s="5">
        <v>141.30000000000001</v>
      </c>
      <c r="J6" s="5">
        <v>57.1</v>
      </c>
      <c r="K6" s="165">
        <v>76.599999999999994</v>
      </c>
    </row>
    <row r="7" spans="1:11">
      <c r="A7" t="s">
        <v>94</v>
      </c>
      <c r="B7" s="33" t="s">
        <v>95</v>
      </c>
      <c r="C7" s="5">
        <v>871.4</v>
      </c>
      <c r="D7" s="5">
        <v>429.4</v>
      </c>
      <c r="E7" s="5">
        <v>1452.8</v>
      </c>
      <c r="F7" s="5">
        <v>464.8</v>
      </c>
      <c r="G7" s="5">
        <v>581</v>
      </c>
      <c r="H7" s="5">
        <v>579.1</v>
      </c>
      <c r="I7" s="5">
        <v>515.79999999999995</v>
      </c>
      <c r="J7" s="5">
        <v>489.964</v>
      </c>
      <c r="K7" s="5">
        <v>513.4</v>
      </c>
    </row>
    <row r="8" spans="1:11">
      <c r="A8" t="s">
        <v>96</v>
      </c>
      <c r="B8" s="5">
        <v>6.5</v>
      </c>
      <c r="C8" s="5">
        <v>6.7</v>
      </c>
      <c r="D8" s="5">
        <v>8.5</v>
      </c>
      <c r="E8" s="5">
        <v>14.3</v>
      </c>
      <c r="F8" s="5">
        <v>6.1</v>
      </c>
      <c r="G8" s="5">
        <v>9.7110000000000003</v>
      </c>
      <c r="H8" s="5">
        <v>6.4</v>
      </c>
      <c r="I8" s="5">
        <v>28</v>
      </c>
      <c r="J8" s="5">
        <v>11.4</v>
      </c>
      <c r="K8" s="5">
        <v>11.4</v>
      </c>
    </row>
    <row r="9" spans="1:11">
      <c r="A9" t="s">
        <v>97</v>
      </c>
      <c r="B9" s="5">
        <v>53.9</v>
      </c>
      <c r="C9" s="5">
        <v>86.5</v>
      </c>
      <c r="D9" s="5">
        <v>54.2</v>
      </c>
      <c r="E9" s="5">
        <v>119.5</v>
      </c>
      <c r="F9" s="5">
        <v>181.38800000000001</v>
      </c>
      <c r="G9" s="5">
        <v>143.19999999999999</v>
      </c>
      <c r="H9" s="5">
        <v>170.2</v>
      </c>
      <c r="I9" s="5">
        <v>151</v>
      </c>
      <c r="J9" s="5">
        <v>165.5</v>
      </c>
      <c r="K9" s="5">
        <v>179.7</v>
      </c>
    </row>
    <row r="10" spans="1:11">
      <c r="A10" t="s">
        <v>98</v>
      </c>
      <c r="B10" s="5">
        <v>177.1</v>
      </c>
      <c r="C10" s="5">
        <v>226.2</v>
      </c>
      <c r="D10" s="5">
        <v>248.3</v>
      </c>
      <c r="E10" s="5">
        <v>245</v>
      </c>
      <c r="F10" s="5">
        <v>218.52099999999999</v>
      </c>
      <c r="G10" s="5">
        <v>181.875</v>
      </c>
      <c r="H10" s="5">
        <v>228.7</v>
      </c>
      <c r="I10" s="5">
        <v>220.1</v>
      </c>
      <c r="J10" s="5">
        <v>310.39999999999998</v>
      </c>
      <c r="K10" s="5">
        <v>575.29999999999995</v>
      </c>
    </row>
    <row r="11" spans="1:11">
      <c r="A11" t="s">
        <v>99</v>
      </c>
      <c r="B11" s="5">
        <v>17.7</v>
      </c>
      <c r="C11" s="5">
        <v>42.3</v>
      </c>
      <c r="D11" s="5">
        <v>86.1</v>
      </c>
      <c r="E11" s="5">
        <v>35.700000000000003</v>
      </c>
      <c r="F11" s="5">
        <v>7.7160000000000002</v>
      </c>
      <c r="G11" s="5">
        <v>2.5880000000000001</v>
      </c>
      <c r="H11" s="5">
        <v>2.7450000000000001</v>
      </c>
      <c r="I11" s="5">
        <v>21.887</v>
      </c>
      <c r="J11" s="5">
        <v>7.4</v>
      </c>
      <c r="K11" s="5">
        <v>6.7</v>
      </c>
    </row>
    <row r="12" spans="1:11">
      <c r="A12" s="3" t="s">
        <v>19</v>
      </c>
      <c r="B12" s="36" t="s">
        <v>17</v>
      </c>
      <c r="C12" s="7">
        <f t="shared" ref="C12:G12" si="0">SUM(C5,C6,C7,C8,C9,C10,C11)</f>
        <v>1273.5</v>
      </c>
      <c r="D12" s="7">
        <f t="shared" si="0"/>
        <v>948.30000000000007</v>
      </c>
      <c r="E12" s="7">
        <f t="shared" si="0"/>
        <v>2013.4</v>
      </c>
      <c r="F12" s="7">
        <f t="shared" si="0"/>
        <v>1015.025</v>
      </c>
      <c r="G12" s="7">
        <f t="shared" si="0"/>
        <v>1066.7239999999999</v>
      </c>
      <c r="H12" s="7">
        <f>SUM(H5,H6,H7,H8,H9,H10,H11)</f>
        <v>1116.395</v>
      </c>
      <c r="I12" s="7">
        <f>SUM(I5,I6,I7,I8,I9,I10,I11)</f>
        <v>1080.3869999999999</v>
      </c>
      <c r="J12" s="7">
        <f>SUM(J5:J11)</f>
        <v>1045.864</v>
      </c>
      <c r="K12" s="7">
        <f>SUM(K5:K11)</f>
        <v>1369.1999999999998</v>
      </c>
    </row>
    <row r="14" spans="1:11">
      <c r="A14" s="65" t="s">
        <v>53</v>
      </c>
    </row>
    <row r="15" spans="1:11">
      <c r="A15" s="59" t="s">
        <v>100</v>
      </c>
      <c r="B15" s="59" t="s">
        <v>101</v>
      </c>
      <c r="C15" s="59" t="s">
        <v>102</v>
      </c>
      <c r="D15" s="59" t="s">
        <v>103</v>
      </c>
      <c r="E15" s="59" t="s">
        <v>104</v>
      </c>
      <c r="F15" s="59" t="s">
        <v>105</v>
      </c>
      <c r="G15" s="7" t="s">
        <v>59</v>
      </c>
      <c r="H15" s="7" t="s">
        <v>60</v>
      </c>
      <c r="I15" s="164" t="s">
        <v>61</v>
      </c>
    </row>
    <row r="16" spans="1:11">
      <c r="A16" s="55" t="s">
        <v>92</v>
      </c>
      <c r="B16" s="62">
        <f t="shared" ref="B16:F16" si="1">(D5-C5)/C5</f>
        <v>0</v>
      </c>
      <c r="C16" s="62">
        <f t="shared" si="1"/>
        <v>0</v>
      </c>
      <c r="D16" s="62">
        <f t="shared" si="1"/>
        <v>0</v>
      </c>
      <c r="E16" s="62">
        <f t="shared" si="1"/>
        <v>-6.2500000000000056E-2</v>
      </c>
      <c r="F16" s="62">
        <f t="shared" si="1"/>
        <v>3.8666666666666667</v>
      </c>
      <c r="G16" s="62">
        <f>(I5-H5)/H5</f>
        <v>-0.36986301369863017</v>
      </c>
      <c r="H16" s="62">
        <f>(J5-I5)/I5</f>
        <v>0.78260869565217395</v>
      </c>
      <c r="I16" s="62">
        <f>(K5-J5)/J5</f>
        <v>0.48780487804878053</v>
      </c>
    </row>
    <row r="17" spans="1:9">
      <c r="A17" s="55" t="s">
        <v>93</v>
      </c>
      <c r="B17" s="62">
        <f>(D6-C6)/C6</f>
        <v>2.0555555555555558</v>
      </c>
      <c r="C17" s="62">
        <f t="shared" ref="C17:E17" si="2">(E6-D6)/D6</f>
        <v>0.20082644628099183</v>
      </c>
      <c r="D17" s="62">
        <f t="shared" si="2"/>
        <v>-6.6070199587061409E-2</v>
      </c>
      <c r="E17" s="62">
        <f t="shared" si="2"/>
        <v>8.7693441414885831E-2</v>
      </c>
      <c r="F17" s="62">
        <f>(H6-G6)/G6</f>
        <v>-0.14905149051490515</v>
      </c>
      <c r="G17" s="62">
        <f t="shared" ref="G17:H22" si="3">(I6-H6)/H6</f>
        <v>0.12500000000000014</v>
      </c>
      <c r="H17" s="62">
        <f t="shared" si="3"/>
        <v>-0.59589525831564061</v>
      </c>
      <c r="I17" s="62">
        <f t="shared" ref="I17:I23" si="4">(K6-J6)/J6</f>
        <v>0.34150612959719778</v>
      </c>
    </row>
    <row r="18" spans="1:9">
      <c r="A18" s="55" t="s">
        <v>94</v>
      </c>
      <c r="B18" s="62">
        <f>(D7-C7)/C7</f>
        <v>-0.50722974523754882</v>
      </c>
      <c r="C18" s="62">
        <f t="shared" ref="C18:F22" si="5">(E7-D7)/D7</f>
        <v>2.383325570563577</v>
      </c>
      <c r="D18" s="62">
        <f t="shared" si="5"/>
        <v>-0.68006607929515417</v>
      </c>
      <c r="E18" s="62">
        <f t="shared" si="5"/>
        <v>0.24999999999999997</v>
      </c>
      <c r="F18" s="62">
        <f t="shared" si="5"/>
        <v>-3.2702237521514237E-3</v>
      </c>
      <c r="G18" s="62">
        <f t="shared" si="3"/>
        <v>-0.10930754619236759</v>
      </c>
      <c r="H18" s="62">
        <f t="shared" si="3"/>
        <v>-5.0089181853431482E-2</v>
      </c>
      <c r="I18" s="62">
        <f t="shared" si="4"/>
        <v>4.7832085622617128E-2</v>
      </c>
    </row>
    <row r="19" spans="1:9">
      <c r="A19" s="55" t="s">
        <v>96</v>
      </c>
      <c r="B19" s="62">
        <f t="shared" ref="B19:B22" si="6">(D8-C8)/C8</f>
        <v>0.26865671641791039</v>
      </c>
      <c r="C19" s="62">
        <f t="shared" si="5"/>
        <v>0.68235294117647072</v>
      </c>
      <c r="D19" s="62">
        <f t="shared" si="5"/>
        <v>-0.57342657342657344</v>
      </c>
      <c r="E19" s="62">
        <f t="shared" si="5"/>
        <v>0.5919672131147542</v>
      </c>
      <c r="F19" s="62">
        <f t="shared" si="5"/>
        <v>-0.34095355782102771</v>
      </c>
      <c r="G19" s="62">
        <f t="shared" si="3"/>
        <v>3.375</v>
      </c>
      <c r="H19" s="62">
        <f t="shared" si="3"/>
        <v>-0.59285714285714286</v>
      </c>
      <c r="I19" s="62">
        <f t="shared" si="4"/>
        <v>0</v>
      </c>
    </row>
    <row r="20" spans="1:9">
      <c r="A20" s="55" t="s">
        <v>97</v>
      </c>
      <c r="B20" s="62">
        <f t="shared" si="6"/>
        <v>-0.37341040462427744</v>
      </c>
      <c r="C20" s="62">
        <f t="shared" si="5"/>
        <v>1.2047970479704795</v>
      </c>
      <c r="D20" s="62">
        <f t="shared" si="5"/>
        <v>0.51789121338912136</v>
      </c>
      <c r="E20" s="62">
        <f t="shared" si="5"/>
        <v>-0.2105321189935388</v>
      </c>
      <c r="F20" s="62">
        <f t="shared" si="5"/>
        <v>0.18854748603351956</v>
      </c>
      <c r="G20" s="62">
        <f t="shared" si="3"/>
        <v>-0.11280846063454752</v>
      </c>
      <c r="H20" s="62">
        <f t="shared" si="3"/>
        <v>9.602649006622517E-2</v>
      </c>
      <c r="I20" s="62">
        <f t="shared" si="4"/>
        <v>8.5800604229607183E-2</v>
      </c>
    </row>
    <row r="21" spans="1:9">
      <c r="A21" s="55" t="s">
        <v>98</v>
      </c>
      <c r="B21" s="62">
        <f t="shared" si="6"/>
        <v>9.7701149425287459E-2</v>
      </c>
      <c r="C21" s="62">
        <f t="shared" si="5"/>
        <v>-1.3290374546919094E-2</v>
      </c>
      <c r="D21" s="62">
        <f t="shared" si="5"/>
        <v>-0.10807755102040822</v>
      </c>
      <c r="E21" s="62">
        <f t="shared" si="5"/>
        <v>-0.16770012950700386</v>
      </c>
      <c r="F21" s="62">
        <f t="shared" si="5"/>
        <v>0.25745704467353947</v>
      </c>
      <c r="G21" s="62">
        <f>(I10-H10)/H10</f>
        <v>-3.7603847835592459E-2</v>
      </c>
      <c r="H21" s="62">
        <f>(J10-I10)/I10</f>
        <v>0.41026805997273957</v>
      </c>
      <c r="I21" s="62">
        <f t="shared" si="4"/>
        <v>0.85341494845360821</v>
      </c>
    </row>
    <row r="22" spans="1:9">
      <c r="A22" s="55" t="s">
        <v>99</v>
      </c>
      <c r="B22" s="62">
        <f t="shared" si="6"/>
        <v>1.0354609929078014</v>
      </c>
      <c r="C22" s="62">
        <f t="shared" si="5"/>
        <v>-0.58536585365853655</v>
      </c>
      <c r="D22" s="62">
        <f t="shared" ref="D22:F23" si="7">(F11-E11)/E11</f>
        <v>-0.78386554621848736</v>
      </c>
      <c r="E22" s="62">
        <f t="shared" si="7"/>
        <v>-0.66459305339554176</v>
      </c>
      <c r="F22" s="62">
        <f t="shared" si="7"/>
        <v>6.0664605873261217E-2</v>
      </c>
      <c r="G22" s="62">
        <f t="shared" si="3"/>
        <v>6.9734061930783238</v>
      </c>
      <c r="H22" s="62">
        <f>(J11-I11)/I11</f>
        <v>-0.66189975784712385</v>
      </c>
      <c r="I22" s="62">
        <f t="shared" si="4"/>
        <v>-9.4594594594594614E-2</v>
      </c>
    </row>
    <row r="23" spans="1:9">
      <c r="A23" s="56" t="s">
        <v>106</v>
      </c>
      <c r="B23" s="64">
        <f>(D12-C12)/C12</f>
        <v>-0.25535924617196698</v>
      </c>
      <c r="C23" s="64">
        <f>(E12-D12)/D12</f>
        <v>1.1231677739112094</v>
      </c>
      <c r="D23" s="64">
        <f t="shared" si="7"/>
        <v>-0.49586520313896892</v>
      </c>
      <c r="E23" s="64">
        <f t="shared" si="7"/>
        <v>5.0933720844314134E-2</v>
      </c>
      <c r="F23" s="64">
        <f t="shared" si="7"/>
        <v>4.6564059681792155E-2</v>
      </c>
      <c r="G23" s="64">
        <f>(I12-H12)/H12</f>
        <v>-3.2253816973383115E-2</v>
      </c>
      <c r="H23" s="64">
        <f>(J12-I12)/I12</f>
        <v>-3.1954290453328218E-2</v>
      </c>
      <c r="I23" s="64">
        <f t="shared" si="4"/>
        <v>0.30915683109849823</v>
      </c>
    </row>
    <row r="34" ht="27" customHeight="1"/>
  </sheetData>
  <phoneticPr fontId="16"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FF22"/>
  <sheetViews>
    <sheetView zoomScaleNormal="111" zoomScalePageLayoutView="120" workbookViewId="0">
      <pane xSplit="1" topLeftCell="B1" activePane="topRight" state="frozen"/>
      <selection pane="topRight" activeCell="E3" sqref="E3"/>
    </sheetView>
  </sheetViews>
  <sheetFormatPr defaultColWidth="11" defaultRowHeight="15.75" customHeight="1"/>
  <cols>
    <col min="1" max="2" width="32.33203125" customWidth="1"/>
    <col min="3" max="54" width="12.83203125" customWidth="1"/>
    <col min="55" max="55" width="11.5" bestFit="1" customWidth="1"/>
    <col min="56" max="60" width="11.5" customWidth="1"/>
    <col min="61" max="62" width="13.58203125" bestFit="1" customWidth="1"/>
    <col min="63" max="63" width="12.58203125" bestFit="1" customWidth="1"/>
    <col min="64" max="64" width="12.5" bestFit="1" customWidth="1"/>
    <col min="65" max="66" width="13.58203125" bestFit="1" customWidth="1"/>
    <col min="67" max="67" width="13" customWidth="1"/>
    <col min="68" max="68" width="13.25" customWidth="1"/>
    <col min="69" max="69" width="20.25" customWidth="1"/>
  </cols>
  <sheetData>
    <row r="1" spans="1:162" ht="15.5">
      <c r="A1" s="1" t="s">
        <v>107</v>
      </c>
    </row>
    <row r="2" spans="1:162" ht="15.5">
      <c r="A2" t="s">
        <v>108</v>
      </c>
      <c r="M2" s="18"/>
      <c r="N2" s="18"/>
      <c r="O2" s="18"/>
      <c r="P2" s="18"/>
      <c r="Q2" s="18"/>
      <c r="R2" s="18"/>
      <c r="S2" s="18"/>
    </row>
    <row r="3" spans="1:162" ht="15.5">
      <c r="A3" s="1"/>
    </row>
    <row r="4" spans="1:162" ht="15.5">
      <c r="A4" s="1"/>
      <c r="B4" s="300" t="s">
        <v>92</v>
      </c>
      <c r="C4" s="300"/>
      <c r="D4" s="300"/>
      <c r="E4" s="300"/>
      <c r="F4" s="300"/>
      <c r="G4" s="300"/>
      <c r="H4" s="166"/>
      <c r="I4" s="166"/>
      <c r="J4" s="166"/>
      <c r="K4" s="291" t="s">
        <v>93</v>
      </c>
      <c r="L4" s="292"/>
      <c r="M4" s="292"/>
      <c r="N4" s="292"/>
      <c r="O4" s="292"/>
      <c r="P4" s="292"/>
      <c r="Q4" s="83"/>
      <c r="R4" s="83"/>
      <c r="S4" s="83"/>
      <c r="T4" s="291" t="s">
        <v>94</v>
      </c>
      <c r="U4" s="292"/>
      <c r="V4" s="292"/>
      <c r="W4" s="292"/>
      <c r="X4" s="292"/>
      <c r="Y4" s="293"/>
      <c r="Z4" s="83"/>
      <c r="AA4" s="83"/>
      <c r="AB4" s="291" t="s">
        <v>96</v>
      </c>
      <c r="AC4" s="292"/>
      <c r="AD4" s="292"/>
      <c r="AE4" s="292"/>
      <c r="AF4" s="292"/>
      <c r="AG4" s="292"/>
      <c r="AH4" s="83"/>
      <c r="AI4" s="83"/>
      <c r="AJ4" s="83"/>
      <c r="AK4" s="291" t="s">
        <v>97</v>
      </c>
      <c r="AL4" s="292"/>
      <c r="AM4" s="292"/>
      <c r="AN4" s="292"/>
      <c r="AO4" s="292"/>
      <c r="AP4" s="292"/>
      <c r="AQ4" s="292"/>
      <c r="AR4" s="293"/>
      <c r="AS4" s="291" t="s">
        <v>98</v>
      </c>
      <c r="AT4" s="292"/>
      <c r="AU4" s="292"/>
      <c r="AV4" s="292"/>
      <c r="AW4" s="292"/>
      <c r="AX4" s="292"/>
      <c r="AY4" s="83"/>
      <c r="AZ4" s="83"/>
      <c r="BA4" s="291" t="s">
        <v>99</v>
      </c>
      <c r="BB4" s="292"/>
      <c r="BC4" s="292"/>
      <c r="BD4" s="292"/>
      <c r="BE4" s="292"/>
      <c r="BF4" s="292"/>
      <c r="BG4" s="292"/>
      <c r="BH4" s="293"/>
      <c r="BI4" s="294" t="s">
        <v>109</v>
      </c>
      <c r="BJ4" s="295"/>
      <c r="BK4" s="295"/>
      <c r="BL4" s="295"/>
      <c r="BM4" s="295"/>
      <c r="BN4" s="295"/>
      <c r="BO4" s="180"/>
      <c r="BP4" s="236"/>
    </row>
    <row r="5" spans="1:162" ht="33">
      <c r="B5" s="42" t="s">
        <v>5</v>
      </c>
      <c r="C5" s="19" t="s">
        <v>6</v>
      </c>
      <c r="D5" s="19" t="s">
        <v>7</v>
      </c>
      <c r="E5" s="19" t="s">
        <v>8</v>
      </c>
      <c r="F5" s="19" t="s">
        <v>9</v>
      </c>
      <c r="G5" s="19" t="s">
        <v>10</v>
      </c>
      <c r="H5" s="19" t="s">
        <v>11</v>
      </c>
      <c r="I5" s="233" t="s">
        <v>110</v>
      </c>
      <c r="J5" s="19"/>
      <c r="K5" s="26" t="s">
        <v>5</v>
      </c>
      <c r="L5" s="26" t="s">
        <v>6</v>
      </c>
      <c r="M5" s="26" t="s">
        <v>7</v>
      </c>
      <c r="N5" s="26" t="s">
        <v>8</v>
      </c>
      <c r="O5" s="26" t="s">
        <v>9</v>
      </c>
      <c r="P5" s="26" t="s">
        <v>10</v>
      </c>
      <c r="Q5" s="26" t="s">
        <v>11</v>
      </c>
      <c r="R5" s="226" t="s">
        <v>111</v>
      </c>
      <c r="S5" s="26"/>
      <c r="T5" s="43" t="s">
        <v>5</v>
      </c>
      <c r="U5" s="26" t="s">
        <v>6</v>
      </c>
      <c r="V5" s="26" t="s">
        <v>7</v>
      </c>
      <c r="W5" s="26" t="s">
        <v>8</v>
      </c>
      <c r="X5" s="26" t="s">
        <v>9</v>
      </c>
      <c r="Y5" s="26" t="s">
        <v>10</v>
      </c>
      <c r="Z5" s="26" t="s">
        <v>11</v>
      </c>
      <c r="AA5" s="226" t="s">
        <v>112</v>
      </c>
      <c r="AB5" s="43" t="s">
        <v>5</v>
      </c>
      <c r="AC5" s="26" t="s">
        <v>6</v>
      </c>
      <c r="AD5" s="26" t="s">
        <v>7</v>
      </c>
      <c r="AE5" s="26" t="s">
        <v>8</v>
      </c>
      <c r="AF5" s="26" t="s">
        <v>9</v>
      </c>
      <c r="AG5" s="26" t="s">
        <v>10</v>
      </c>
      <c r="AH5" s="26" t="s">
        <v>11</v>
      </c>
      <c r="AI5" s="226" t="s">
        <v>112</v>
      </c>
      <c r="AJ5" s="26"/>
      <c r="AK5" s="43" t="s">
        <v>5</v>
      </c>
      <c r="AL5" s="26" t="s">
        <v>6</v>
      </c>
      <c r="AM5" s="26" t="s">
        <v>7</v>
      </c>
      <c r="AN5" s="26" t="s">
        <v>8</v>
      </c>
      <c r="AO5" s="26" t="s">
        <v>9</v>
      </c>
      <c r="AP5" s="26" t="s">
        <v>10</v>
      </c>
      <c r="AQ5" s="26" t="s">
        <v>11</v>
      </c>
      <c r="AR5" s="226" t="s">
        <v>112</v>
      </c>
      <c r="AS5" s="43" t="s">
        <v>5</v>
      </c>
      <c r="AT5" s="26" t="s">
        <v>6</v>
      </c>
      <c r="AU5" s="26" t="s">
        <v>7</v>
      </c>
      <c r="AV5" s="26" t="s">
        <v>8</v>
      </c>
      <c r="AW5" s="26" t="s">
        <v>9</v>
      </c>
      <c r="AX5" s="26" t="s">
        <v>10</v>
      </c>
      <c r="AY5" s="26" t="s">
        <v>11</v>
      </c>
      <c r="AZ5" s="226" t="s">
        <v>112</v>
      </c>
      <c r="BA5" s="43" t="s">
        <v>5</v>
      </c>
      <c r="BB5" s="26" t="s">
        <v>6</v>
      </c>
      <c r="BC5" s="26" t="s">
        <v>7</v>
      </c>
      <c r="BD5" s="26" t="s">
        <v>8</v>
      </c>
      <c r="BE5" s="26" t="s">
        <v>9</v>
      </c>
      <c r="BF5" s="26" t="s">
        <v>10</v>
      </c>
      <c r="BG5" s="26" t="s">
        <v>11</v>
      </c>
      <c r="BH5" s="226" t="s">
        <v>113</v>
      </c>
      <c r="BI5" s="48" t="s">
        <v>5</v>
      </c>
      <c r="BJ5" s="49" t="s">
        <v>6</v>
      </c>
      <c r="BK5" s="49" t="s">
        <v>7</v>
      </c>
      <c r="BL5" s="49" t="s">
        <v>8</v>
      </c>
      <c r="BM5" s="49" t="s">
        <v>9</v>
      </c>
      <c r="BN5" s="49" t="s">
        <v>10</v>
      </c>
      <c r="BO5" s="49" t="s">
        <v>11</v>
      </c>
      <c r="BP5" s="226" t="s">
        <v>113</v>
      </c>
      <c r="BQ5" s="164"/>
    </row>
    <row r="6" spans="1:162" ht="31">
      <c r="A6" s="50" t="s">
        <v>114</v>
      </c>
      <c r="B6" s="27">
        <v>1250000</v>
      </c>
      <c r="C6" s="28">
        <v>1250000</v>
      </c>
      <c r="D6" s="28">
        <v>1287500</v>
      </c>
      <c r="E6" s="28">
        <v>1250000</v>
      </c>
      <c r="F6" s="28">
        <v>1250000</v>
      </c>
      <c r="G6" s="28">
        <v>1250000</v>
      </c>
      <c r="H6" s="28">
        <v>1250000</v>
      </c>
      <c r="I6" s="231">
        <v>0</v>
      </c>
      <c r="J6" s="167"/>
      <c r="K6" s="28">
        <v>1282500</v>
      </c>
      <c r="L6" s="28">
        <v>1250000</v>
      </c>
      <c r="M6" s="28">
        <v>1250000</v>
      </c>
      <c r="N6" s="28">
        <v>1250000</v>
      </c>
      <c r="O6" s="47">
        <v>1250000</v>
      </c>
      <c r="P6" s="28">
        <v>1250000</v>
      </c>
      <c r="Q6" s="28">
        <v>1250000</v>
      </c>
      <c r="R6" s="227">
        <v>0</v>
      </c>
      <c r="S6" s="28"/>
      <c r="T6" s="27">
        <v>2765700</v>
      </c>
      <c r="U6" s="28">
        <v>2712700</v>
      </c>
      <c r="V6" s="28">
        <v>2975108</v>
      </c>
      <c r="W6" s="28">
        <v>2953208</v>
      </c>
      <c r="X6" s="47">
        <v>2633543</v>
      </c>
      <c r="Y6" s="47">
        <v>2632283</v>
      </c>
      <c r="Z6" s="183">
        <v>2651327</v>
      </c>
      <c r="AA6" s="227"/>
      <c r="AB6" s="28">
        <v>1250000</v>
      </c>
      <c r="AC6" s="44">
        <v>1250000</v>
      </c>
      <c r="AD6" s="28">
        <v>1250000</v>
      </c>
      <c r="AE6" s="28">
        <v>1241209</v>
      </c>
      <c r="AF6" s="28">
        <v>1234176</v>
      </c>
      <c r="AG6" s="28">
        <v>1234176</v>
      </c>
      <c r="AH6" s="28">
        <v>1235691</v>
      </c>
      <c r="AI6" s="227"/>
      <c r="AJ6" s="28"/>
      <c r="AK6" s="27">
        <v>2515700</v>
      </c>
      <c r="AL6" s="28">
        <v>2515700</v>
      </c>
      <c r="AM6" s="28">
        <v>186429</v>
      </c>
      <c r="AN6" s="47">
        <v>2072813</v>
      </c>
      <c r="AO6" s="28">
        <v>6200228</v>
      </c>
      <c r="AP6" s="28">
        <v>2352019</v>
      </c>
      <c r="AQ6" s="28">
        <v>2367691</v>
      </c>
      <c r="AR6" s="227"/>
      <c r="AS6" s="27">
        <v>2418599</v>
      </c>
      <c r="AT6" s="28">
        <v>2515700</v>
      </c>
      <c r="AU6" s="28">
        <v>2515700</v>
      </c>
      <c r="AV6" s="28">
        <v>2630700</v>
      </c>
      <c r="AW6" s="47">
        <v>2622476</v>
      </c>
      <c r="AX6" s="47">
        <v>2515700</v>
      </c>
      <c r="AY6" s="47">
        <v>2397272</v>
      </c>
      <c r="AZ6" s="227">
        <v>0</v>
      </c>
      <c r="BA6" s="27">
        <v>1250000</v>
      </c>
      <c r="BB6" s="28">
        <v>1250000</v>
      </c>
      <c r="BC6" s="28">
        <v>1250000</v>
      </c>
      <c r="BD6" s="28">
        <v>1244780</v>
      </c>
      <c r="BE6" s="47">
        <v>1240604</v>
      </c>
      <c r="BF6" s="28">
        <v>1240604</v>
      </c>
      <c r="BG6" s="28">
        <v>1312004</v>
      </c>
      <c r="BH6" s="227">
        <v>0</v>
      </c>
      <c r="BI6" s="106">
        <f t="shared" ref="BI6:BP12" si="0">SUM(B6,K6,T6,AB6,AK6,AS6,BA6)</f>
        <v>12732499</v>
      </c>
      <c r="BJ6" s="107">
        <f t="shared" si="0"/>
        <v>12744100</v>
      </c>
      <c r="BK6" s="107">
        <f t="shared" si="0"/>
        <v>10714737</v>
      </c>
      <c r="BL6" s="107">
        <f t="shared" si="0"/>
        <v>12642710</v>
      </c>
      <c r="BM6" s="107">
        <f t="shared" si="0"/>
        <v>16431027</v>
      </c>
      <c r="BN6" s="107">
        <f t="shared" si="0"/>
        <v>12474782</v>
      </c>
      <c r="BO6" s="168">
        <f t="shared" si="0"/>
        <v>12463985</v>
      </c>
      <c r="BP6" s="237">
        <f t="shared" si="0"/>
        <v>0</v>
      </c>
      <c r="BQ6" s="191"/>
    </row>
    <row r="7" spans="1:162" ht="31">
      <c r="A7" s="2" t="s">
        <v>115</v>
      </c>
      <c r="B7" s="27">
        <v>820465</v>
      </c>
      <c r="C7" s="28">
        <v>820465</v>
      </c>
      <c r="D7" s="28">
        <v>820465</v>
      </c>
      <c r="E7" s="28">
        <v>811674</v>
      </c>
      <c r="F7" s="28">
        <v>789777</v>
      </c>
      <c r="G7" s="28">
        <v>774913</v>
      </c>
      <c r="H7" s="28">
        <v>761564</v>
      </c>
      <c r="I7" s="227">
        <v>0</v>
      </c>
      <c r="J7" s="28"/>
      <c r="K7" s="28">
        <v>723036</v>
      </c>
      <c r="L7" s="28">
        <v>723036</v>
      </c>
      <c r="M7" s="28">
        <v>723036</v>
      </c>
      <c r="N7" s="28">
        <v>723036</v>
      </c>
      <c r="O7" s="47">
        <v>724758</v>
      </c>
      <c r="P7" s="28">
        <v>726481</v>
      </c>
      <c r="Q7" s="28">
        <v>728203</v>
      </c>
      <c r="R7" s="227">
        <v>0</v>
      </c>
      <c r="S7" s="28"/>
      <c r="T7" s="27">
        <v>2758047</v>
      </c>
      <c r="U7" s="28">
        <v>2758047</v>
      </c>
      <c r="V7" s="28">
        <v>2758047</v>
      </c>
      <c r="W7" s="28">
        <v>2758047</v>
      </c>
      <c r="X7" s="28">
        <v>2686520</v>
      </c>
      <c r="Y7" s="74">
        <v>2614992</v>
      </c>
      <c r="Z7" s="28">
        <v>2543465</v>
      </c>
      <c r="AA7" s="227"/>
      <c r="AB7" s="28">
        <v>1007224</v>
      </c>
      <c r="AC7" s="44">
        <v>1007224</v>
      </c>
      <c r="AD7" s="28">
        <v>1007204</v>
      </c>
      <c r="AE7" s="28">
        <v>1007204</v>
      </c>
      <c r="AF7" s="28">
        <v>963443</v>
      </c>
      <c r="AG7" s="28">
        <v>919663</v>
      </c>
      <c r="AH7" s="28">
        <v>875882</v>
      </c>
      <c r="AI7" s="227"/>
      <c r="AJ7" s="28"/>
      <c r="AK7" s="27">
        <v>2666819</v>
      </c>
      <c r="AL7" s="28">
        <v>2666819</v>
      </c>
      <c r="AM7" s="28">
        <v>1382280</v>
      </c>
      <c r="AN7" s="28">
        <v>2899718</v>
      </c>
      <c r="AO7" s="28">
        <v>2666819</v>
      </c>
      <c r="AP7" s="28">
        <v>3163237</v>
      </c>
      <c r="AQ7" s="28">
        <v>3411446</v>
      </c>
      <c r="AR7" s="227"/>
      <c r="AS7" s="27">
        <v>2649199</v>
      </c>
      <c r="AT7" s="28">
        <v>2552098</v>
      </c>
      <c r="AU7" s="28">
        <v>2552098</v>
      </c>
      <c r="AV7" s="28">
        <v>2399186</v>
      </c>
      <c r="AW7" s="47">
        <v>2259346</v>
      </c>
      <c r="AX7" s="47">
        <v>2248388</v>
      </c>
      <c r="AY7" s="47">
        <v>2255616</v>
      </c>
      <c r="AZ7" s="227">
        <v>0</v>
      </c>
      <c r="BA7" s="27">
        <v>672311</v>
      </c>
      <c r="BB7" s="28">
        <v>672311</v>
      </c>
      <c r="BC7" s="28">
        <v>672311</v>
      </c>
      <c r="BD7" s="28">
        <v>672311</v>
      </c>
      <c r="BE7" s="28">
        <v>670286</v>
      </c>
      <c r="BF7" s="47">
        <v>668260</v>
      </c>
      <c r="BG7" s="28">
        <v>595735</v>
      </c>
      <c r="BH7" s="227">
        <v>0</v>
      </c>
      <c r="BI7" s="106">
        <f t="shared" si="0"/>
        <v>11297101</v>
      </c>
      <c r="BJ7" s="107">
        <f t="shared" si="0"/>
        <v>11200000</v>
      </c>
      <c r="BK7" s="107">
        <f t="shared" si="0"/>
        <v>9915441</v>
      </c>
      <c r="BL7" s="107">
        <f t="shared" si="0"/>
        <v>11271176</v>
      </c>
      <c r="BM7" s="107">
        <f t="shared" si="0"/>
        <v>10760949</v>
      </c>
      <c r="BN7" s="107">
        <f t="shared" si="0"/>
        <v>11115934</v>
      </c>
      <c r="BO7" s="107">
        <f t="shared" si="0"/>
        <v>11171911</v>
      </c>
      <c r="BP7" s="238">
        <f t="shared" si="0"/>
        <v>0</v>
      </c>
      <c r="BQ7" s="18"/>
    </row>
    <row r="8" spans="1:162" ht="33">
      <c r="A8" s="203" t="s">
        <v>116</v>
      </c>
      <c r="B8" s="27">
        <v>366000</v>
      </c>
      <c r="C8" s="28">
        <v>366000</v>
      </c>
      <c r="D8" s="28">
        <v>366000</v>
      </c>
      <c r="E8" s="28">
        <v>366000</v>
      </c>
      <c r="F8" s="28">
        <v>366000</v>
      </c>
      <c r="G8" s="28">
        <v>366000</v>
      </c>
      <c r="H8" s="28">
        <v>366000</v>
      </c>
      <c r="I8" s="227"/>
      <c r="J8" s="28"/>
      <c r="K8" s="28">
        <v>322784</v>
      </c>
      <c r="L8" s="28">
        <v>322784</v>
      </c>
      <c r="M8" s="28">
        <v>322784</v>
      </c>
      <c r="N8" s="28">
        <v>322784</v>
      </c>
      <c r="O8" s="47">
        <v>322784</v>
      </c>
      <c r="P8" s="28">
        <v>322784</v>
      </c>
      <c r="Q8" s="28">
        <v>322784</v>
      </c>
      <c r="R8" s="227">
        <v>0</v>
      </c>
      <c r="S8" s="28"/>
      <c r="T8" s="27">
        <v>1231270</v>
      </c>
      <c r="U8" s="28">
        <v>1231270</v>
      </c>
      <c r="V8" s="28">
        <v>1231270</v>
      </c>
      <c r="W8" s="28">
        <v>1231270</v>
      </c>
      <c r="X8" s="47">
        <v>1231270</v>
      </c>
      <c r="Y8" s="47">
        <v>1231270</v>
      </c>
      <c r="Z8" s="47">
        <v>1231270</v>
      </c>
      <c r="AA8" s="227"/>
      <c r="AB8" s="28">
        <v>449654</v>
      </c>
      <c r="AC8" s="44">
        <v>449654</v>
      </c>
      <c r="AD8" s="28">
        <v>449654</v>
      </c>
      <c r="AE8" s="28">
        <v>449654</v>
      </c>
      <c r="AF8" s="28">
        <v>449654</v>
      </c>
      <c r="AG8" s="28">
        <v>449654</v>
      </c>
      <c r="AH8" s="28">
        <v>449654</v>
      </c>
      <c r="AI8" s="227"/>
      <c r="AJ8" s="28"/>
      <c r="AK8" s="27">
        <v>1190544</v>
      </c>
      <c r="AL8" s="28">
        <v>1190544</v>
      </c>
      <c r="AM8" s="28">
        <v>0</v>
      </c>
      <c r="AN8" s="28">
        <v>0</v>
      </c>
      <c r="AO8" s="28">
        <v>0</v>
      </c>
      <c r="AP8" s="28">
        <v>0</v>
      </c>
      <c r="AQ8" s="28">
        <v>0</v>
      </c>
      <c r="AR8" s="227"/>
      <c r="AS8" s="27">
        <v>1139329</v>
      </c>
      <c r="AT8" s="28">
        <v>1139329</v>
      </c>
      <c r="AU8" s="28">
        <v>1139329</v>
      </c>
      <c r="AV8" s="28">
        <v>1139329</v>
      </c>
      <c r="AW8" s="47">
        <v>1139329</v>
      </c>
      <c r="AX8" s="47">
        <v>1139329</v>
      </c>
      <c r="AY8" s="28">
        <v>1139329</v>
      </c>
      <c r="AZ8" s="227">
        <v>0</v>
      </c>
      <c r="BA8" s="27">
        <v>300139</v>
      </c>
      <c r="BB8" s="28">
        <v>300139</v>
      </c>
      <c r="BC8" s="28">
        <v>300139</v>
      </c>
      <c r="BD8" s="28">
        <v>300139</v>
      </c>
      <c r="BE8" s="28">
        <v>300139</v>
      </c>
      <c r="BF8" s="28">
        <v>300139</v>
      </c>
      <c r="BG8" s="28">
        <v>300139</v>
      </c>
      <c r="BH8" s="227">
        <v>0</v>
      </c>
      <c r="BI8" s="106">
        <f t="shared" si="0"/>
        <v>4999720</v>
      </c>
      <c r="BJ8" s="107">
        <f t="shared" si="0"/>
        <v>4999720</v>
      </c>
      <c r="BK8" s="107">
        <f t="shared" si="0"/>
        <v>3809176</v>
      </c>
      <c r="BL8" s="107">
        <f t="shared" si="0"/>
        <v>3809176</v>
      </c>
      <c r="BM8" s="107">
        <f t="shared" si="0"/>
        <v>3809176</v>
      </c>
      <c r="BN8" s="107">
        <f t="shared" si="0"/>
        <v>3809176</v>
      </c>
      <c r="BO8" s="107">
        <f t="shared" si="0"/>
        <v>3809176</v>
      </c>
      <c r="BP8" s="238">
        <f t="shared" si="0"/>
        <v>0</v>
      </c>
      <c r="BQ8" s="18"/>
    </row>
    <row r="9" spans="1:162" ht="15.5">
      <c r="A9" s="2" t="s">
        <v>117</v>
      </c>
      <c r="B9" s="27">
        <v>66800</v>
      </c>
      <c r="C9" s="28">
        <v>70000</v>
      </c>
      <c r="D9" s="28">
        <v>50000</v>
      </c>
      <c r="E9" s="28">
        <v>0</v>
      </c>
      <c r="F9" s="28">
        <v>0</v>
      </c>
      <c r="G9" s="28">
        <v>0</v>
      </c>
      <c r="H9" s="28">
        <v>0</v>
      </c>
      <c r="I9" s="227"/>
      <c r="J9" s="28"/>
      <c r="K9" s="112">
        <v>50000</v>
      </c>
      <c r="L9" s="28">
        <v>45000</v>
      </c>
      <c r="M9" s="28">
        <v>80000</v>
      </c>
      <c r="N9" s="28">
        <v>85000</v>
      </c>
      <c r="O9" s="47">
        <v>100000</v>
      </c>
      <c r="P9" s="28">
        <v>0</v>
      </c>
      <c r="Q9" s="28">
        <v>0</v>
      </c>
      <c r="R9" s="227">
        <v>0</v>
      </c>
      <c r="S9" s="28"/>
      <c r="T9" s="27">
        <v>96239</v>
      </c>
      <c r="U9" s="28">
        <v>75800</v>
      </c>
      <c r="V9" s="28">
        <v>96274</v>
      </c>
      <c r="W9" s="28">
        <v>0</v>
      </c>
      <c r="X9" s="47">
        <v>53643</v>
      </c>
      <c r="Y9" s="47">
        <v>0</v>
      </c>
      <c r="Z9" s="47">
        <v>0</v>
      </c>
      <c r="AA9" s="227"/>
      <c r="AB9" s="27">
        <v>40000</v>
      </c>
      <c r="AC9" s="44">
        <v>10000</v>
      </c>
      <c r="AD9" s="28">
        <v>0</v>
      </c>
      <c r="AE9" s="28">
        <v>0</v>
      </c>
      <c r="AF9" s="28">
        <v>60000</v>
      </c>
      <c r="AG9" s="28">
        <v>0</v>
      </c>
      <c r="AH9" s="28">
        <v>0</v>
      </c>
      <c r="AI9" s="227"/>
      <c r="AJ9" s="28"/>
      <c r="AK9" s="27">
        <v>160000</v>
      </c>
      <c r="AL9" s="28">
        <v>0</v>
      </c>
      <c r="AM9" s="28">
        <v>175000</v>
      </c>
      <c r="AN9" s="28">
        <v>0</v>
      </c>
      <c r="AO9" s="28">
        <v>0</v>
      </c>
      <c r="AP9" s="28">
        <v>0</v>
      </c>
      <c r="AQ9" s="28">
        <v>0</v>
      </c>
      <c r="AR9" s="227"/>
      <c r="AS9" s="27">
        <v>90000</v>
      </c>
      <c r="AT9" s="28">
        <v>160000</v>
      </c>
      <c r="AU9" s="28">
        <v>100000</v>
      </c>
      <c r="AV9" s="28">
        <v>125000</v>
      </c>
      <c r="AW9" s="47">
        <v>125000</v>
      </c>
      <c r="AX9" s="47">
        <v>0</v>
      </c>
      <c r="AY9" s="28">
        <v>0</v>
      </c>
      <c r="AZ9" s="227">
        <v>0</v>
      </c>
      <c r="BA9" s="27">
        <v>0</v>
      </c>
      <c r="BB9" s="28">
        <v>16000</v>
      </c>
      <c r="BC9" s="28">
        <v>0</v>
      </c>
      <c r="BD9" s="28">
        <v>0</v>
      </c>
      <c r="BE9" s="28">
        <v>96170</v>
      </c>
      <c r="BF9" s="28">
        <v>0</v>
      </c>
      <c r="BG9" s="28">
        <v>0</v>
      </c>
      <c r="BH9" s="227">
        <v>0</v>
      </c>
      <c r="BI9" s="106">
        <f t="shared" si="0"/>
        <v>503039</v>
      </c>
      <c r="BJ9" s="107">
        <f t="shared" si="0"/>
        <v>376800</v>
      </c>
      <c r="BK9" s="107">
        <f t="shared" si="0"/>
        <v>501274</v>
      </c>
      <c r="BL9" s="107">
        <f t="shared" si="0"/>
        <v>210000</v>
      </c>
      <c r="BM9" s="107">
        <f t="shared" si="0"/>
        <v>434813</v>
      </c>
      <c r="BN9" s="107">
        <f t="shared" si="0"/>
        <v>0</v>
      </c>
      <c r="BO9" s="107">
        <f t="shared" si="0"/>
        <v>0</v>
      </c>
      <c r="BP9" s="238">
        <f t="shared" si="0"/>
        <v>0</v>
      </c>
      <c r="BQ9" s="18"/>
    </row>
    <row r="10" spans="1:162" ht="18.5">
      <c r="A10" s="2" t="s">
        <v>118</v>
      </c>
      <c r="B10" s="27"/>
      <c r="C10" s="28"/>
      <c r="D10" s="28"/>
      <c r="E10" s="28"/>
      <c r="F10" s="28">
        <v>364540</v>
      </c>
      <c r="G10" s="28">
        <v>489540</v>
      </c>
      <c r="H10" s="28">
        <v>489540</v>
      </c>
      <c r="I10" s="227">
        <v>750000</v>
      </c>
      <c r="J10" s="28"/>
      <c r="K10" s="28"/>
      <c r="L10" s="28"/>
      <c r="M10" s="28"/>
      <c r="N10" s="28"/>
      <c r="O10" s="47">
        <v>0</v>
      </c>
      <c r="P10" s="28">
        <v>125000</v>
      </c>
      <c r="Q10" s="28">
        <v>125000</v>
      </c>
      <c r="R10" s="227">
        <v>500000</v>
      </c>
      <c r="S10" s="28"/>
      <c r="T10" s="27"/>
      <c r="U10" s="28"/>
      <c r="V10" s="28"/>
      <c r="W10" s="28">
        <v>0</v>
      </c>
      <c r="X10" s="47">
        <v>695940</v>
      </c>
      <c r="Y10" s="47">
        <v>945940</v>
      </c>
      <c r="Z10" s="47">
        <v>945940</v>
      </c>
      <c r="AA10" s="227">
        <v>3212158</v>
      </c>
      <c r="AB10" s="27"/>
      <c r="AC10" s="44"/>
      <c r="AD10" s="28"/>
      <c r="AE10" s="28"/>
      <c r="AF10" s="28">
        <v>79536</v>
      </c>
      <c r="AG10" s="28">
        <v>204536</v>
      </c>
      <c r="AH10" s="28">
        <v>204536</v>
      </c>
      <c r="AI10" s="227">
        <v>1289758</v>
      </c>
      <c r="AJ10" s="28"/>
      <c r="AK10" s="27"/>
      <c r="AL10" s="28"/>
      <c r="AM10" s="28"/>
      <c r="AN10" s="28"/>
      <c r="AO10" s="28">
        <v>300000</v>
      </c>
      <c r="AP10" s="28">
        <v>550000</v>
      </c>
      <c r="AQ10" s="28">
        <v>250000</v>
      </c>
      <c r="AR10" s="227">
        <f>1800000+3000000+798333</f>
        <v>5598333</v>
      </c>
      <c r="AS10" s="27"/>
      <c r="AT10" s="28"/>
      <c r="AU10" s="28"/>
      <c r="AV10" s="28"/>
      <c r="AW10" s="47">
        <v>1110191</v>
      </c>
      <c r="AX10" s="47">
        <v>1360191</v>
      </c>
      <c r="AY10" s="47">
        <v>1360191</v>
      </c>
      <c r="AZ10" s="227">
        <v>3149751</v>
      </c>
      <c r="BA10" s="27"/>
      <c r="BB10" s="28"/>
      <c r="BC10" s="28"/>
      <c r="BD10" s="28"/>
      <c r="BE10" s="28">
        <v>54681</v>
      </c>
      <c r="BF10" s="28">
        <v>179681</v>
      </c>
      <c r="BG10" s="28">
        <v>179681</v>
      </c>
      <c r="BH10" s="227">
        <v>500000</v>
      </c>
      <c r="BI10" s="106">
        <f t="shared" si="0"/>
        <v>0</v>
      </c>
      <c r="BJ10" s="107">
        <f t="shared" si="0"/>
        <v>0</v>
      </c>
      <c r="BK10" s="107">
        <f t="shared" si="0"/>
        <v>0</v>
      </c>
      <c r="BL10" s="107">
        <f t="shared" si="0"/>
        <v>0</v>
      </c>
      <c r="BM10" s="107">
        <f t="shared" si="0"/>
        <v>2604888</v>
      </c>
      <c r="BN10" s="107">
        <f t="shared" si="0"/>
        <v>3854888</v>
      </c>
      <c r="BO10" s="107">
        <f>SUM(H10,Q10,Z10,AH10,AQ10,AY10,BG10)</f>
        <v>3554888</v>
      </c>
      <c r="BP10" s="238">
        <f>SUM(I10,R10,AA10,AI10,AR10,AZ10,BH10)</f>
        <v>15000000</v>
      </c>
      <c r="BQ10" s="18"/>
    </row>
    <row r="11" spans="1:162" ht="15.5">
      <c r="A11" s="2" t="s">
        <v>119</v>
      </c>
      <c r="B11" s="27">
        <v>0</v>
      </c>
      <c r="C11" s="28">
        <v>0</v>
      </c>
      <c r="D11" s="28">
        <v>0</v>
      </c>
      <c r="E11" s="28">
        <v>0</v>
      </c>
      <c r="F11" s="28"/>
      <c r="G11" s="28">
        <v>0</v>
      </c>
      <c r="H11" s="28">
        <v>0</v>
      </c>
      <c r="I11" s="227"/>
      <c r="J11" s="28"/>
      <c r="K11" s="28">
        <v>0</v>
      </c>
      <c r="L11" s="28">
        <v>0</v>
      </c>
      <c r="M11" s="28">
        <v>0</v>
      </c>
      <c r="N11" s="28">
        <v>240000</v>
      </c>
      <c r="O11" s="47">
        <v>0</v>
      </c>
      <c r="P11" s="28">
        <v>0</v>
      </c>
      <c r="Q11" s="28">
        <v>0</v>
      </c>
      <c r="R11" s="227">
        <v>0</v>
      </c>
      <c r="S11" s="28"/>
      <c r="T11" s="27">
        <v>1686966</v>
      </c>
      <c r="U11" s="28">
        <v>1686966</v>
      </c>
      <c r="V11" s="28">
        <v>1741552</v>
      </c>
      <c r="W11" s="28">
        <v>1686966</v>
      </c>
      <c r="X11" s="28">
        <v>1686966</v>
      </c>
      <c r="Y11" s="28">
        <v>1686966</v>
      </c>
      <c r="Z11" s="28">
        <v>1786966</v>
      </c>
      <c r="AA11" s="227"/>
      <c r="AB11" s="27">
        <v>0</v>
      </c>
      <c r="AC11" s="44">
        <v>0</v>
      </c>
      <c r="AD11" s="28">
        <v>0</v>
      </c>
      <c r="AE11" s="28">
        <v>0</v>
      </c>
      <c r="AF11" s="47">
        <v>0</v>
      </c>
      <c r="AG11" s="47">
        <v>0</v>
      </c>
      <c r="AH11" s="47">
        <v>0</v>
      </c>
      <c r="AI11" s="227"/>
      <c r="AJ11" s="47"/>
      <c r="AK11" s="27">
        <v>471325</v>
      </c>
      <c r="AL11" s="28">
        <v>471325</v>
      </c>
      <c r="AM11" s="28">
        <v>471325</v>
      </c>
      <c r="AN11" s="28">
        <v>471325</v>
      </c>
      <c r="AO11" s="28">
        <v>471325</v>
      </c>
      <c r="AP11" s="28">
        <v>471325</v>
      </c>
      <c r="AQ11" s="28">
        <v>571325</v>
      </c>
      <c r="AR11" s="227"/>
      <c r="AS11" s="27">
        <v>1360184</v>
      </c>
      <c r="AT11" s="28">
        <v>1360184</v>
      </c>
      <c r="AU11" s="28">
        <v>1360184</v>
      </c>
      <c r="AV11" s="28">
        <v>1392214</v>
      </c>
      <c r="AW11" s="28">
        <v>1392214</v>
      </c>
      <c r="AX11" s="28">
        <v>1392214</v>
      </c>
      <c r="AY11" s="28">
        <v>1513214</v>
      </c>
      <c r="AZ11" s="227">
        <v>0</v>
      </c>
      <c r="BA11" s="27">
        <v>209667</v>
      </c>
      <c r="BB11" s="28">
        <v>209667</v>
      </c>
      <c r="BC11" s="28">
        <v>225667</v>
      </c>
      <c r="BD11" s="28">
        <v>225667</v>
      </c>
      <c r="BE11" s="28">
        <v>209667</v>
      </c>
      <c r="BF11" s="28">
        <v>209667</v>
      </c>
      <c r="BG11" s="28">
        <v>209667</v>
      </c>
      <c r="BH11" s="227"/>
      <c r="BI11" s="106">
        <f t="shared" si="0"/>
        <v>3728142</v>
      </c>
      <c r="BJ11" s="107">
        <f t="shared" si="0"/>
        <v>3728142</v>
      </c>
      <c r="BK11" s="107">
        <f t="shared" si="0"/>
        <v>3798728</v>
      </c>
      <c r="BL11" s="107">
        <f t="shared" si="0"/>
        <v>4016172</v>
      </c>
      <c r="BM11" s="107">
        <f t="shared" si="0"/>
        <v>3760172</v>
      </c>
      <c r="BN11" s="107">
        <f t="shared" si="0"/>
        <v>3760172</v>
      </c>
      <c r="BO11" s="107">
        <f t="shared" si="0"/>
        <v>4081172</v>
      </c>
      <c r="BP11" s="238">
        <f t="shared" si="0"/>
        <v>0</v>
      </c>
      <c r="BQ11" s="18"/>
    </row>
    <row r="12" spans="1:162" ht="17.5">
      <c r="A12" s="203" t="s">
        <v>120</v>
      </c>
      <c r="B12" s="27">
        <v>90000</v>
      </c>
      <c r="C12" s="28">
        <v>0</v>
      </c>
      <c r="D12" s="28">
        <v>37500</v>
      </c>
      <c r="E12" s="28">
        <v>0</v>
      </c>
      <c r="F12" s="28"/>
      <c r="G12" s="28">
        <v>0</v>
      </c>
      <c r="H12" s="28">
        <v>0</v>
      </c>
      <c r="I12" s="227"/>
      <c r="J12" s="28"/>
      <c r="K12" s="28">
        <v>107500</v>
      </c>
      <c r="L12" s="28">
        <v>250000</v>
      </c>
      <c r="M12" s="28">
        <v>125000</v>
      </c>
      <c r="N12" s="28">
        <v>65000</v>
      </c>
      <c r="O12" s="47">
        <v>65000</v>
      </c>
      <c r="P12" s="28">
        <v>0</v>
      </c>
      <c r="Q12" s="28">
        <v>0</v>
      </c>
      <c r="R12" s="227">
        <v>0</v>
      </c>
      <c r="S12" s="28"/>
      <c r="T12" s="27">
        <v>1102790</v>
      </c>
      <c r="U12" s="28">
        <v>1260000</v>
      </c>
      <c r="V12" s="28">
        <v>1285000</v>
      </c>
      <c r="W12" s="28">
        <v>1060000</v>
      </c>
      <c r="X12" s="28">
        <v>925000</v>
      </c>
      <c r="Y12" s="28">
        <v>200000</v>
      </c>
      <c r="Z12" s="28">
        <v>0</v>
      </c>
      <c r="AA12" s="227"/>
      <c r="AB12" s="27">
        <v>0</v>
      </c>
      <c r="AC12" s="44">
        <v>177000</v>
      </c>
      <c r="AD12" s="28">
        <v>179000</v>
      </c>
      <c r="AE12" s="28">
        <v>0</v>
      </c>
      <c r="AF12" s="28">
        <v>179000</v>
      </c>
      <c r="AG12" s="28">
        <v>179000</v>
      </c>
      <c r="AH12" s="28">
        <v>179000</v>
      </c>
      <c r="AI12" s="227"/>
      <c r="AJ12" s="28"/>
      <c r="AK12" s="27">
        <v>125000</v>
      </c>
      <c r="AL12" s="28">
        <v>0</v>
      </c>
      <c r="AM12" s="28">
        <v>0</v>
      </c>
      <c r="AN12" s="28">
        <v>50032</v>
      </c>
      <c r="AO12" s="28">
        <v>100000</v>
      </c>
      <c r="AP12" s="28">
        <v>210000</v>
      </c>
      <c r="AQ12" s="28">
        <v>100000</v>
      </c>
      <c r="AR12" s="227"/>
      <c r="AS12" s="27">
        <v>0</v>
      </c>
      <c r="AT12" s="28">
        <v>0</v>
      </c>
      <c r="AU12" s="28">
        <v>100000</v>
      </c>
      <c r="AV12" s="28">
        <v>160000</v>
      </c>
      <c r="AW12" s="28">
        <v>275000</v>
      </c>
      <c r="AX12" s="28">
        <v>215000</v>
      </c>
      <c r="AY12" s="28">
        <v>0</v>
      </c>
      <c r="AZ12" s="227">
        <v>0</v>
      </c>
      <c r="BA12" s="27">
        <v>42910</v>
      </c>
      <c r="BB12" s="28">
        <v>0</v>
      </c>
      <c r="BC12" s="28">
        <v>0</v>
      </c>
      <c r="BD12" s="28">
        <v>0</v>
      </c>
      <c r="BE12" s="28">
        <v>0</v>
      </c>
      <c r="BF12" s="28">
        <v>9737</v>
      </c>
      <c r="BG12" s="28">
        <v>0</v>
      </c>
      <c r="BH12" s="227"/>
      <c r="BI12" s="106">
        <f t="shared" si="0"/>
        <v>1468200</v>
      </c>
      <c r="BJ12" s="107">
        <f t="shared" si="0"/>
        <v>1687000</v>
      </c>
      <c r="BK12" s="107">
        <f t="shared" si="0"/>
        <v>1726500</v>
      </c>
      <c r="BL12" s="107">
        <f t="shared" si="0"/>
        <v>1335032</v>
      </c>
      <c r="BM12" s="107">
        <f t="shared" si="0"/>
        <v>1544000</v>
      </c>
      <c r="BN12" s="107">
        <f t="shared" si="0"/>
        <v>813737</v>
      </c>
      <c r="BO12" s="107">
        <f t="shared" si="0"/>
        <v>279000</v>
      </c>
      <c r="BP12" s="238">
        <f t="shared" si="0"/>
        <v>0</v>
      </c>
      <c r="BQ12" s="18"/>
    </row>
    <row r="13" spans="1:162" s="149" customFormat="1" ht="15.5">
      <c r="A13" s="50" t="s">
        <v>121</v>
      </c>
      <c r="B13" s="148">
        <f t="shared" ref="B13:I13" si="1">SUM(B6:B12)</f>
        <v>2593265</v>
      </c>
      <c r="C13" s="148">
        <f t="shared" si="1"/>
        <v>2506465</v>
      </c>
      <c r="D13" s="148">
        <f t="shared" si="1"/>
        <v>2561465</v>
      </c>
      <c r="E13" s="148">
        <f t="shared" si="1"/>
        <v>2427674</v>
      </c>
      <c r="F13" s="148">
        <f t="shared" si="1"/>
        <v>2770317</v>
      </c>
      <c r="G13" s="148">
        <f t="shared" si="1"/>
        <v>2880453</v>
      </c>
      <c r="H13" s="27">
        <f t="shared" si="1"/>
        <v>2867104</v>
      </c>
      <c r="I13" s="228">
        <f t="shared" si="1"/>
        <v>750000</v>
      </c>
      <c r="J13" s="148"/>
      <c r="K13" s="148">
        <f t="shared" ref="K13:R13" si="2">SUM(K6:K12)</f>
        <v>2485820</v>
      </c>
      <c r="L13" s="148">
        <f t="shared" si="2"/>
        <v>2590820</v>
      </c>
      <c r="M13" s="148">
        <f t="shared" si="2"/>
        <v>2500820</v>
      </c>
      <c r="N13" s="148">
        <f t="shared" si="2"/>
        <v>2685820</v>
      </c>
      <c r="O13" s="186">
        <f t="shared" si="2"/>
        <v>2462542</v>
      </c>
      <c r="P13" s="148">
        <f t="shared" si="2"/>
        <v>2424265</v>
      </c>
      <c r="Q13" s="148">
        <f t="shared" si="2"/>
        <v>2425987</v>
      </c>
      <c r="R13" s="228">
        <f t="shared" si="2"/>
        <v>500000</v>
      </c>
      <c r="S13" s="148"/>
      <c r="T13" s="148">
        <f t="shared" ref="T13:AI13" si="3">SUM(T6:T12)</f>
        <v>9641012</v>
      </c>
      <c r="U13" s="148">
        <f t="shared" si="3"/>
        <v>9724783</v>
      </c>
      <c r="V13" s="148">
        <f t="shared" si="3"/>
        <v>10087251</v>
      </c>
      <c r="W13" s="148">
        <f t="shared" si="3"/>
        <v>9689491</v>
      </c>
      <c r="X13" s="148">
        <f t="shared" si="3"/>
        <v>9912882</v>
      </c>
      <c r="Y13" s="148">
        <f t="shared" si="3"/>
        <v>9311451</v>
      </c>
      <c r="Z13" s="148">
        <f t="shared" si="3"/>
        <v>9158968</v>
      </c>
      <c r="AA13" s="228">
        <f t="shared" si="3"/>
        <v>3212158</v>
      </c>
      <c r="AB13" s="148">
        <f t="shared" si="3"/>
        <v>2746878</v>
      </c>
      <c r="AC13" s="148">
        <f t="shared" si="3"/>
        <v>2893878</v>
      </c>
      <c r="AD13" s="148">
        <f t="shared" si="3"/>
        <v>2885858</v>
      </c>
      <c r="AE13" s="148">
        <f t="shared" si="3"/>
        <v>2698067</v>
      </c>
      <c r="AF13" s="148">
        <f t="shared" si="3"/>
        <v>2965809</v>
      </c>
      <c r="AG13" s="148">
        <f t="shared" si="3"/>
        <v>2987029</v>
      </c>
      <c r="AH13" s="148">
        <f t="shared" si="3"/>
        <v>2944763</v>
      </c>
      <c r="AI13" s="228">
        <f t="shared" si="3"/>
        <v>1289758</v>
      </c>
      <c r="AJ13" s="148"/>
      <c r="AK13" s="148">
        <f t="shared" ref="AK13:AR13" si="4">SUM(AK6:AK12)</f>
        <v>7129388</v>
      </c>
      <c r="AL13" s="148">
        <f t="shared" si="4"/>
        <v>6844388</v>
      </c>
      <c r="AM13" s="148">
        <f t="shared" si="4"/>
        <v>2215034</v>
      </c>
      <c r="AN13" s="148">
        <f t="shared" si="4"/>
        <v>5493888</v>
      </c>
      <c r="AO13" s="148">
        <f t="shared" si="4"/>
        <v>9738372</v>
      </c>
      <c r="AP13" s="148">
        <f t="shared" si="4"/>
        <v>6746581</v>
      </c>
      <c r="AQ13" s="148">
        <f t="shared" si="4"/>
        <v>6700462</v>
      </c>
      <c r="AR13" s="228">
        <f t="shared" si="4"/>
        <v>5598333</v>
      </c>
      <c r="AS13" s="148">
        <f t="shared" ref="AS13:BP13" si="5">SUM(AS6:AS12)</f>
        <v>7657311</v>
      </c>
      <c r="AT13" s="148">
        <f t="shared" si="5"/>
        <v>7727311</v>
      </c>
      <c r="AU13" s="148">
        <f t="shared" si="5"/>
        <v>7767311</v>
      </c>
      <c r="AV13" s="148">
        <f t="shared" si="5"/>
        <v>7846429</v>
      </c>
      <c r="AW13" s="148">
        <f t="shared" si="5"/>
        <v>8923556</v>
      </c>
      <c r="AX13" s="148">
        <f t="shared" si="5"/>
        <v>8870822</v>
      </c>
      <c r="AY13" s="148">
        <f t="shared" si="5"/>
        <v>8665622</v>
      </c>
      <c r="AZ13" s="228">
        <f t="shared" si="5"/>
        <v>3149751</v>
      </c>
      <c r="BA13" s="148">
        <f t="shared" si="5"/>
        <v>2475027</v>
      </c>
      <c r="BB13" s="148">
        <f t="shared" si="5"/>
        <v>2448117</v>
      </c>
      <c r="BC13" s="148">
        <f t="shared" si="5"/>
        <v>2448117</v>
      </c>
      <c r="BD13" s="148">
        <f t="shared" si="5"/>
        <v>2442897</v>
      </c>
      <c r="BE13" s="148">
        <f t="shared" si="5"/>
        <v>2571547</v>
      </c>
      <c r="BF13" s="148">
        <f t="shared" si="5"/>
        <v>2608088</v>
      </c>
      <c r="BG13" s="148">
        <f t="shared" si="5"/>
        <v>2597226</v>
      </c>
      <c r="BH13" s="228">
        <f t="shared" si="5"/>
        <v>500000</v>
      </c>
      <c r="BI13" s="151">
        <f t="shared" si="5"/>
        <v>34728701</v>
      </c>
      <c r="BJ13" s="151">
        <f t="shared" si="5"/>
        <v>34735762</v>
      </c>
      <c r="BK13" s="151">
        <f t="shared" si="5"/>
        <v>30465856</v>
      </c>
      <c r="BL13" s="151">
        <f t="shared" si="5"/>
        <v>33284266</v>
      </c>
      <c r="BM13" s="151">
        <f t="shared" si="5"/>
        <v>39345025</v>
      </c>
      <c r="BN13" s="151">
        <f t="shared" si="5"/>
        <v>35828689</v>
      </c>
      <c r="BO13" s="151">
        <f t="shared" si="5"/>
        <v>35360132</v>
      </c>
      <c r="BP13" s="228">
        <f t="shared" si="5"/>
        <v>15000000</v>
      </c>
      <c r="BQ13" s="186"/>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row>
    <row r="14" spans="1:162" ht="15.5">
      <c r="A14" s="145" t="s">
        <v>122</v>
      </c>
      <c r="B14" s="105">
        <f t="shared" ref="B14:H14" si="6">SUM(B6:B12)</f>
        <v>2593265</v>
      </c>
      <c r="C14" s="96">
        <f t="shared" si="6"/>
        <v>2506465</v>
      </c>
      <c r="D14" s="96">
        <f t="shared" si="6"/>
        <v>2561465</v>
      </c>
      <c r="E14" s="96">
        <f t="shared" si="6"/>
        <v>2427674</v>
      </c>
      <c r="F14" s="96">
        <f t="shared" si="6"/>
        <v>2770317</v>
      </c>
      <c r="G14" s="97">
        <f t="shared" si="6"/>
        <v>2880453</v>
      </c>
      <c r="H14" s="97">
        <f t="shared" si="6"/>
        <v>2867104</v>
      </c>
      <c r="I14" s="232"/>
      <c r="J14" s="96"/>
      <c r="K14" s="96">
        <f t="shared" ref="K14:Q14" si="7">SUM(K6:K12)</f>
        <v>2485820</v>
      </c>
      <c r="L14" s="96">
        <f t="shared" si="7"/>
        <v>2590820</v>
      </c>
      <c r="M14" s="96">
        <f t="shared" si="7"/>
        <v>2500820</v>
      </c>
      <c r="N14" s="96">
        <f t="shared" si="7"/>
        <v>2685820</v>
      </c>
      <c r="O14" s="96">
        <f t="shared" si="7"/>
        <v>2462542</v>
      </c>
      <c r="P14" s="96">
        <f t="shared" si="7"/>
        <v>2424265</v>
      </c>
      <c r="Q14" s="96">
        <f t="shared" si="7"/>
        <v>2425987</v>
      </c>
      <c r="R14" s="229"/>
      <c r="S14" s="96"/>
      <c r="T14" s="105">
        <f t="shared" ref="T14:Z14" si="8">SUM(T6:T12)</f>
        <v>9641012</v>
      </c>
      <c r="U14" s="96">
        <f t="shared" si="8"/>
        <v>9724783</v>
      </c>
      <c r="V14" s="96">
        <f t="shared" si="8"/>
        <v>10087251</v>
      </c>
      <c r="W14" s="96">
        <f t="shared" si="8"/>
        <v>9689491</v>
      </c>
      <c r="X14" s="96">
        <f t="shared" si="8"/>
        <v>9912882</v>
      </c>
      <c r="Y14" s="96">
        <f t="shared" si="8"/>
        <v>9311451</v>
      </c>
      <c r="Z14" s="96">
        <f t="shared" si="8"/>
        <v>9158968</v>
      </c>
      <c r="AA14" s="229"/>
      <c r="AB14" s="105">
        <f t="shared" ref="AB14:AH14" si="9">SUM(AB6:AB12)</f>
        <v>2746878</v>
      </c>
      <c r="AC14" s="96">
        <f t="shared" si="9"/>
        <v>2893878</v>
      </c>
      <c r="AD14" s="96">
        <f t="shared" si="9"/>
        <v>2885858</v>
      </c>
      <c r="AE14" s="96">
        <f t="shared" si="9"/>
        <v>2698067</v>
      </c>
      <c r="AF14" s="96">
        <f t="shared" si="9"/>
        <v>2965809</v>
      </c>
      <c r="AG14" s="96">
        <f t="shared" si="9"/>
        <v>2987029</v>
      </c>
      <c r="AH14" s="96">
        <f t="shared" si="9"/>
        <v>2944763</v>
      </c>
      <c r="AI14" s="229"/>
      <c r="AJ14" s="96"/>
      <c r="AK14" s="105">
        <f t="shared" ref="AK14:AQ14" si="10">SUM(AK6:AK12)</f>
        <v>7129388</v>
      </c>
      <c r="AL14" s="96">
        <f t="shared" si="10"/>
        <v>6844388</v>
      </c>
      <c r="AM14" s="96">
        <f t="shared" si="10"/>
        <v>2215034</v>
      </c>
      <c r="AN14" s="96">
        <f t="shared" si="10"/>
        <v>5493888</v>
      </c>
      <c r="AO14" s="96">
        <f t="shared" si="10"/>
        <v>9738372</v>
      </c>
      <c r="AP14" s="96">
        <f t="shared" si="10"/>
        <v>6746581</v>
      </c>
      <c r="AQ14" s="96">
        <f t="shared" si="10"/>
        <v>6700462</v>
      </c>
      <c r="AR14" s="229"/>
      <c r="AS14" s="105">
        <f t="shared" ref="AS14:AY14" si="11">SUM(AS6:AS12)</f>
        <v>7657311</v>
      </c>
      <c r="AT14" s="96">
        <f t="shared" si="11"/>
        <v>7727311</v>
      </c>
      <c r="AU14" s="96">
        <f t="shared" si="11"/>
        <v>7767311</v>
      </c>
      <c r="AV14" s="96">
        <f t="shared" si="11"/>
        <v>7846429</v>
      </c>
      <c r="AW14" s="96">
        <f t="shared" si="11"/>
        <v>8923556</v>
      </c>
      <c r="AX14" s="96">
        <f t="shared" si="11"/>
        <v>8870822</v>
      </c>
      <c r="AY14" s="96">
        <f t="shared" si="11"/>
        <v>8665622</v>
      </c>
      <c r="AZ14" s="229"/>
      <c r="BA14" s="105">
        <f t="shared" ref="BA14:BG14" si="12">SUM(BA6:BA12)</f>
        <v>2475027</v>
      </c>
      <c r="BB14" s="96">
        <f t="shared" si="12"/>
        <v>2448117</v>
      </c>
      <c r="BC14" s="96">
        <f t="shared" si="12"/>
        <v>2448117</v>
      </c>
      <c r="BD14" s="96">
        <f t="shared" si="12"/>
        <v>2442897</v>
      </c>
      <c r="BE14" s="96">
        <f t="shared" si="12"/>
        <v>2571547</v>
      </c>
      <c r="BF14" s="96">
        <f t="shared" si="12"/>
        <v>2608088</v>
      </c>
      <c r="BG14" s="96">
        <f t="shared" si="12"/>
        <v>2597226</v>
      </c>
      <c r="BH14" s="229"/>
      <c r="BI14" s="146">
        <f t="shared" ref="BI14:BO14" si="13">SUM(B14,K14,T14,AB14,AK14,AS14,BA14)</f>
        <v>34728701</v>
      </c>
      <c r="BJ14" s="147">
        <f t="shared" si="13"/>
        <v>34735762</v>
      </c>
      <c r="BK14" s="147">
        <f t="shared" si="13"/>
        <v>30465856</v>
      </c>
      <c r="BL14" s="147">
        <f t="shared" si="13"/>
        <v>33284266</v>
      </c>
      <c r="BM14" s="147">
        <f t="shared" si="13"/>
        <v>39345025</v>
      </c>
      <c r="BN14" s="147">
        <f t="shared" si="13"/>
        <v>35828689</v>
      </c>
      <c r="BO14" s="147">
        <f t="shared" si="13"/>
        <v>35360132</v>
      </c>
      <c r="BP14" s="239"/>
      <c r="BQ14" s="192"/>
    </row>
    <row r="15" spans="1:162" s="1" customFormat="1" ht="15.5">
      <c r="A15" s="19" t="s">
        <v>19</v>
      </c>
      <c r="B15" s="115">
        <f>SUM(B13:B14)</f>
        <v>5186530</v>
      </c>
      <c r="C15" s="115">
        <f>SUM(C13:C14)</f>
        <v>5012930</v>
      </c>
      <c r="D15" s="115">
        <f>SUM(D13:D14)</f>
        <v>5122930</v>
      </c>
      <c r="E15" s="115">
        <f t="shared" ref="E15:BL15" si="14">SUM(E13:E14)</f>
        <v>4855348</v>
      </c>
      <c r="F15" s="115">
        <f t="shared" si="14"/>
        <v>5540634</v>
      </c>
      <c r="G15" s="115">
        <f t="shared" si="14"/>
        <v>5760906</v>
      </c>
      <c r="H15" s="115">
        <f t="shared" si="14"/>
        <v>5734208</v>
      </c>
      <c r="I15" s="230">
        <f t="shared" si="14"/>
        <v>750000</v>
      </c>
      <c r="J15" s="115"/>
      <c r="K15" s="115">
        <f t="shared" si="14"/>
        <v>4971640</v>
      </c>
      <c r="L15" s="115">
        <f t="shared" si="14"/>
        <v>5181640</v>
      </c>
      <c r="M15" s="115">
        <f t="shared" si="14"/>
        <v>5001640</v>
      </c>
      <c r="N15" s="115">
        <f t="shared" si="14"/>
        <v>5371640</v>
      </c>
      <c r="O15" s="115">
        <f t="shared" si="14"/>
        <v>4925084</v>
      </c>
      <c r="P15" s="115">
        <f t="shared" si="14"/>
        <v>4848530</v>
      </c>
      <c r="Q15" s="115">
        <f t="shared" si="14"/>
        <v>4851974</v>
      </c>
      <c r="R15" s="230">
        <f t="shared" si="14"/>
        <v>500000</v>
      </c>
      <c r="S15" s="115"/>
      <c r="T15" s="115">
        <f t="shared" si="14"/>
        <v>19282024</v>
      </c>
      <c r="U15" s="115">
        <f t="shared" si="14"/>
        <v>19449566</v>
      </c>
      <c r="V15" s="115">
        <f t="shared" si="14"/>
        <v>20174502</v>
      </c>
      <c r="W15" s="115">
        <f t="shared" si="14"/>
        <v>19378982</v>
      </c>
      <c r="X15" s="115">
        <f t="shared" si="14"/>
        <v>19825764</v>
      </c>
      <c r="Y15" s="115">
        <f t="shared" si="14"/>
        <v>18622902</v>
      </c>
      <c r="Z15" s="115">
        <f>SUM(Z13:Z14)</f>
        <v>18317936</v>
      </c>
      <c r="AA15" s="230">
        <f>SUM(AA13:AA14)</f>
        <v>3212158</v>
      </c>
      <c r="AB15" s="115">
        <f t="shared" si="14"/>
        <v>5493756</v>
      </c>
      <c r="AC15" s="115">
        <f t="shared" si="14"/>
        <v>5787756</v>
      </c>
      <c r="AD15" s="115">
        <f t="shared" si="14"/>
        <v>5771716</v>
      </c>
      <c r="AE15" s="115">
        <f t="shared" si="14"/>
        <v>5396134</v>
      </c>
      <c r="AF15" s="115">
        <f t="shared" si="14"/>
        <v>5931618</v>
      </c>
      <c r="AG15" s="115">
        <f t="shared" si="14"/>
        <v>5974058</v>
      </c>
      <c r="AH15" s="115">
        <f>SUM(AH13:AH14)</f>
        <v>5889526</v>
      </c>
      <c r="AI15" s="230">
        <f>SUM(AI13:AI14)</f>
        <v>1289758</v>
      </c>
      <c r="AJ15" s="115"/>
      <c r="AK15" s="115">
        <f t="shared" si="14"/>
        <v>14258776</v>
      </c>
      <c r="AL15" s="115">
        <f t="shared" si="14"/>
        <v>13688776</v>
      </c>
      <c r="AM15" s="115">
        <f t="shared" si="14"/>
        <v>4430068</v>
      </c>
      <c r="AN15" s="115">
        <f t="shared" si="14"/>
        <v>10987776</v>
      </c>
      <c r="AO15" s="115">
        <f t="shared" si="14"/>
        <v>19476744</v>
      </c>
      <c r="AP15" s="115">
        <f t="shared" si="14"/>
        <v>13493162</v>
      </c>
      <c r="AQ15" s="115">
        <f t="shared" si="14"/>
        <v>13400924</v>
      </c>
      <c r="AR15" s="230">
        <f t="shared" si="14"/>
        <v>5598333</v>
      </c>
      <c r="AS15" s="115">
        <f t="shared" si="14"/>
        <v>15314622</v>
      </c>
      <c r="AT15" s="115">
        <f t="shared" si="14"/>
        <v>15454622</v>
      </c>
      <c r="AU15" s="115">
        <f t="shared" si="14"/>
        <v>15534622</v>
      </c>
      <c r="AV15" s="115">
        <f t="shared" si="14"/>
        <v>15692858</v>
      </c>
      <c r="AW15" s="115">
        <f t="shared" si="14"/>
        <v>17847112</v>
      </c>
      <c r="AX15" s="115">
        <f t="shared" si="14"/>
        <v>17741644</v>
      </c>
      <c r="AY15" s="115">
        <f t="shared" si="14"/>
        <v>17331244</v>
      </c>
      <c r="AZ15" s="230">
        <f t="shared" si="14"/>
        <v>3149751</v>
      </c>
      <c r="BA15" s="115">
        <f t="shared" si="14"/>
        <v>4950054</v>
      </c>
      <c r="BB15" s="115">
        <f t="shared" si="14"/>
        <v>4896234</v>
      </c>
      <c r="BC15" s="115">
        <f t="shared" si="14"/>
        <v>4896234</v>
      </c>
      <c r="BD15" s="115">
        <f t="shared" si="14"/>
        <v>4885794</v>
      </c>
      <c r="BE15" s="115">
        <f t="shared" si="14"/>
        <v>5143094</v>
      </c>
      <c r="BF15" s="115">
        <f t="shared" si="14"/>
        <v>5216176</v>
      </c>
      <c r="BG15" s="115">
        <f t="shared" si="14"/>
        <v>5194452</v>
      </c>
      <c r="BH15" s="230">
        <f t="shared" si="14"/>
        <v>500000</v>
      </c>
      <c r="BI15" s="152">
        <f t="shared" si="14"/>
        <v>69457402</v>
      </c>
      <c r="BJ15" s="152">
        <f t="shared" si="14"/>
        <v>69471524</v>
      </c>
      <c r="BK15" s="152">
        <f t="shared" si="14"/>
        <v>60931712</v>
      </c>
      <c r="BL15" s="152">
        <f t="shared" si="14"/>
        <v>66568532</v>
      </c>
      <c r="BM15" s="152">
        <f>SUM(BM13:BM14)</f>
        <v>78690050</v>
      </c>
      <c r="BN15" s="152">
        <f>SUM(BN13:BN14)</f>
        <v>71657378</v>
      </c>
      <c r="BO15" s="152">
        <f>SUM(BO13:BO14)</f>
        <v>70720264</v>
      </c>
      <c r="BP15" s="230">
        <f>SUM(BP13:BP14)</f>
        <v>15000000</v>
      </c>
      <c r="BQ15" s="193"/>
    </row>
    <row r="16" spans="1:162" ht="15.5">
      <c r="K16" s="18"/>
    </row>
    <row r="17" spans="1:45" ht="15.5">
      <c r="A17" s="297" t="s">
        <v>123</v>
      </c>
      <c r="B17" s="297"/>
      <c r="C17" s="297"/>
      <c r="D17" s="297"/>
      <c r="E17" s="297"/>
      <c r="F17" s="297"/>
      <c r="G17" s="297"/>
      <c r="H17" s="297"/>
      <c r="I17" s="297"/>
      <c r="J17" s="297"/>
      <c r="K17" s="297"/>
    </row>
    <row r="18" spans="1:45" ht="15.5">
      <c r="A18" s="298" t="s">
        <v>124</v>
      </c>
      <c r="B18" s="297"/>
      <c r="C18" s="297"/>
      <c r="D18" s="297"/>
      <c r="E18" s="297"/>
      <c r="F18" s="297"/>
      <c r="G18" s="297"/>
      <c r="H18" s="297"/>
      <c r="I18" s="297"/>
      <c r="J18" s="297"/>
      <c r="K18" s="297"/>
      <c r="L18" s="281"/>
      <c r="M18" s="281"/>
      <c r="N18" s="281"/>
    </row>
    <row r="19" spans="1:45" ht="28.5" customHeight="1">
      <c r="A19" s="299" t="s">
        <v>125</v>
      </c>
      <c r="B19" s="297"/>
      <c r="C19" s="297"/>
      <c r="D19" s="297"/>
      <c r="E19" s="297"/>
      <c r="F19" s="297"/>
      <c r="G19" s="297"/>
      <c r="H19" s="297"/>
      <c r="I19" s="297"/>
      <c r="J19" s="297"/>
      <c r="K19" s="297"/>
    </row>
    <row r="20" spans="1:45" ht="25" customHeight="1">
      <c r="A20" s="296" t="s">
        <v>126</v>
      </c>
      <c r="B20" s="296"/>
      <c r="C20" s="296"/>
      <c r="D20" s="296"/>
      <c r="E20" s="296"/>
      <c r="F20" s="296"/>
      <c r="G20" s="296"/>
      <c r="H20" s="296"/>
      <c r="I20" s="296"/>
      <c r="J20" s="296"/>
      <c r="K20" s="296"/>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row>
    <row r="21" spans="1:45" ht="15.5">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row>
    <row r="22" spans="1:45" ht="15.5">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row>
  </sheetData>
  <mergeCells count="12">
    <mergeCell ref="A20:K20"/>
    <mergeCell ref="A17:K17"/>
    <mergeCell ref="A18:K18"/>
    <mergeCell ref="A19:K19"/>
    <mergeCell ref="K4:P4"/>
    <mergeCell ref="B4:G4"/>
    <mergeCell ref="T4:Y4"/>
    <mergeCell ref="BI4:BN4"/>
    <mergeCell ref="AS4:AX4"/>
    <mergeCell ref="AB4:AG4"/>
    <mergeCell ref="BA4:BH4"/>
    <mergeCell ref="AK4:AR4"/>
  </mergeCells>
  <phoneticPr fontId="16" type="noConversion"/>
  <pageMargins left="0.7" right="0.7" top="0.75" bottom="0.75" header="0.3" footer="0.3"/>
  <pageSetup orientation="portrait" r:id="rId1"/>
  <ignoredErrors>
    <ignoredError sqref="BN1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6A724-0F44-F94C-A842-9EC2B74D66E2}">
  <sheetPr>
    <tabColor theme="9" tint="0.39997558519241921"/>
  </sheetPr>
  <dimension ref="A1:BM23"/>
  <sheetViews>
    <sheetView zoomScaleNormal="100" zoomScalePageLayoutView="120" workbookViewId="0">
      <pane xSplit="1" topLeftCell="AQ1" activePane="topRight" state="frozen"/>
      <selection pane="topRight" activeCell="I5" sqref="I5:I13"/>
    </sheetView>
  </sheetViews>
  <sheetFormatPr defaultColWidth="11" defaultRowHeight="15.75" customHeight="1"/>
  <cols>
    <col min="1" max="1" width="53.33203125" customWidth="1"/>
    <col min="2" max="17" width="12.83203125" customWidth="1"/>
    <col min="18" max="20" width="14" bestFit="1" customWidth="1"/>
    <col min="21" max="23" width="14.33203125" bestFit="1" customWidth="1"/>
    <col min="24" max="25" width="14.33203125" customWidth="1"/>
    <col min="26" max="33" width="12.83203125" customWidth="1"/>
    <col min="34" max="36" width="14" bestFit="1" customWidth="1"/>
    <col min="37" max="38" width="14.33203125" bestFit="1" customWidth="1"/>
    <col min="39" max="39" width="15.58203125" bestFit="1" customWidth="1"/>
    <col min="40" max="41" width="15.58203125" customWidth="1"/>
    <col min="42" max="43" width="14.33203125" bestFit="1" customWidth="1"/>
    <col min="44" max="44" width="15" bestFit="1" customWidth="1"/>
    <col min="45" max="46" width="14.33203125" bestFit="1" customWidth="1"/>
    <col min="47" max="47" width="14.5" bestFit="1" customWidth="1"/>
    <col min="48" max="49" width="14.5" customWidth="1"/>
    <col min="50" max="50" width="14" bestFit="1" customWidth="1"/>
    <col min="51" max="51" width="12.83203125" customWidth="1"/>
    <col min="52" max="52" width="12.5" bestFit="1" customWidth="1"/>
    <col min="53" max="53" width="12.83203125" bestFit="1" customWidth="1"/>
    <col min="54" max="54" width="12.5" bestFit="1" customWidth="1"/>
    <col min="55" max="55" width="14.5" bestFit="1" customWidth="1"/>
    <col min="56" max="57" width="14.5" customWidth="1"/>
    <col min="58" max="60" width="14.33203125" bestFit="1" customWidth="1"/>
    <col min="61" max="63" width="15.5" bestFit="1" customWidth="1"/>
    <col min="64" max="64" width="12.83203125" bestFit="1" customWidth="1"/>
    <col min="65" max="65" width="13.08203125" customWidth="1"/>
  </cols>
  <sheetData>
    <row r="1" spans="1:65" ht="31">
      <c r="A1" s="19" t="s">
        <v>127</v>
      </c>
    </row>
    <row r="2" spans="1:65" ht="31">
      <c r="A2" s="2" t="s">
        <v>128</v>
      </c>
    </row>
    <row r="3" spans="1:65" ht="31">
      <c r="A3" s="2" t="s">
        <v>129</v>
      </c>
      <c r="Z3" s="104"/>
      <c r="AA3" s="104"/>
      <c r="AB3" s="104"/>
      <c r="AC3" s="104"/>
      <c r="AD3" s="104"/>
      <c r="AE3" s="83"/>
      <c r="AF3" s="83"/>
      <c r="AG3" s="83"/>
      <c r="BF3" s="104"/>
      <c r="BG3" s="104"/>
      <c r="BH3" s="104"/>
      <c r="BI3" s="104"/>
      <c r="BJ3" s="104"/>
    </row>
    <row r="4" spans="1:65" ht="15.5">
      <c r="B4" s="301" t="s">
        <v>92</v>
      </c>
      <c r="C4" s="302"/>
      <c r="D4" s="302"/>
      <c r="E4" s="302"/>
      <c r="F4" s="302"/>
      <c r="G4" s="303"/>
      <c r="H4" s="303"/>
      <c r="I4" s="304"/>
      <c r="J4" s="305" t="s">
        <v>93</v>
      </c>
      <c r="K4" s="306"/>
      <c r="L4" s="306"/>
      <c r="M4" s="306"/>
      <c r="N4" s="306"/>
      <c r="O4" s="306"/>
      <c r="P4" s="306"/>
      <c r="Q4" s="307"/>
      <c r="R4" s="305" t="s">
        <v>94</v>
      </c>
      <c r="S4" s="306"/>
      <c r="T4" s="306"/>
      <c r="U4" s="306"/>
      <c r="V4" s="306"/>
      <c r="W4" s="306"/>
      <c r="X4" s="306"/>
      <c r="Y4" s="307"/>
      <c r="Z4" s="308" t="s">
        <v>96</v>
      </c>
      <c r="AA4" s="309"/>
      <c r="AB4" s="309"/>
      <c r="AC4" s="309"/>
      <c r="AD4" s="309"/>
      <c r="AE4" s="309"/>
      <c r="AF4" s="309"/>
      <c r="AG4" s="310"/>
      <c r="AH4" s="308" t="s">
        <v>97</v>
      </c>
      <c r="AI4" s="309"/>
      <c r="AJ4" s="309"/>
      <c r="AK4" s="309"/>
      <c r="AL4" s="309"/>
      <c r="AM4" s="309"/>
      <c r="AN4" s="309"/>
      <c r="AO4" s="310"/>
      <c r="AP4" s="308" t="s">
        <v>98</v>
      </c>
      <c r="AQ4" s="309"/>
      <c r="AR4" s="309"/>
      <c r="AS4" s="309"/>
      <c r="AT4" s="309"/>
      <c r="AU4" s="309"/>
      <c r="AV4" s="310"/>
      <c r="AW4" s="179"/>
      <c r="AX4" s="291" t="s">
        <v>99</v>
      </c>
      <c r="AY4" s="292"/>
      <c r="AZ4" s="292"/>
      <c r="BA4" s="292"/>
      <c r="BB4" s="292"/>
      <c r="BC4" s="292"/>
      <c r="BD4" s="292"/>
      <c r="BE4" s="293"/>
      <c r="BF4" s="311" t="s">
        <v>130</v>
      </c>
      <c r="BG4" s="312"/>
      <c r="BH4" s="312"/>
      <c r="BI4" s="312"/>
      <c r="BJ4" s="312"/>
      <c r="BK4" s="312"/>
      <c r="BL4" s="313"/>
      <c r="BM4" s="265"/>
    </row>
    <row r="5" spans="1:65" s="1" customFormat="1" ht="17.5">
      <c r="B5" s="130" t="s">
        <v>5</v>
      </c>
      <c r="C5" s="131" t="s">
        <v>6</v>
      </c>
      <c r="D5" s="131" t="s">
        <v>7</v>
      </c>
      <c r="E5" s="131" t="s">
        <v>8</v>
      </c>
      <c r="F5" s="131" t="s">
        <v>9</v>
      </c>
      <c r="G5" s="204" t="s">
        <v>10</v>
      </c>
      <c r="H5" s="204" t="s">
        <v>11</v>
      </c>
      <c r="I5" s="270" t="s">
        <v>131</v>
      </c>
      <c r="J5" s="130" t="s">
        <v>5</v>
      </c>
      <c r="K5" s="131" t="s">
        <v>6</v>
      </c>
      <c r="L5" s="131" t="s">
        <v>7</v>
      </c>
      <c r="M5" s="131" t="s">
        <v>8</v>
      </c>
      <c r="N5" s="131" t="s">
        <v>9</v>
      </c>
      <c r="O5" s="132" t="s">
        <v>10</v>
      </c>
      <c r="P5" s="131" t="s">
        <v>11</v>
      </c>
      <c r="Q5" s="270" t="s">
        <v>131</v>
      </c>
      <c r="R5" s="133" t="s">
        <v>5</v>
      </c>
      <c r="S5" s="134" t="s">
        <v>6</v>
      </c>
      <c r="T5" s="134" t="s">
        <v>7</v>
      </c>
      <c r="U5" s="134" t="s">
        <v>8</v>
      </c>
      <c r="V5" s="134" t="s">
        <v>9</v>
      </c>
      <c r="W5" s="135" t="s">
        <v>10</v>
      </c>
      <c r="X5" s="174" t="s">
        <v>11</v>
      </c>
      <c r="Y5" s="258" t="s">
        <v>131</v>
      </c>
      <c r="Z5" s="131" t="s">
        <v>5</v>
      </c>
      <c r="AA5" s="131" t="s">
        <v>6</v>
      </c>
      <c r="AB5" s="131" t="s">
        <v>7</v>
      </c>
      <c r="AC5" s="131" t="s">
        <v>8</v>
      </c>
      <c r="AD5" s="131" t="s">
        <v>9</v>
      </c>
      <c r="AE5" s="132" t="s">
        <v>10</v>
      </c>
      <c r="AF5" s="131" t="s">
        <v>11</v>
      </c>
      <c r="AG5" s="258" t="s">
        <v>131</v>
      </c>
      <c r="AH5" s="130" t="s">
        <v>5</v>
      </c>
      <c r="AI5" s="131" t="s">
        <v>6</v>
      </c>
      <c r="AJ5" s="131" t="s">
        <v>7</v>
      </c>
      <c r="AK5" s="131" t="s">
        <v>8</v>
      </c>
      <c r="AL5" s="131" t="s">
        <v>9</v>
      </c>
      <c r="AM5" s="132" t="s">
        <v>10</v>
      </c>
      <c r="AN5" s="131" t="s">
        <v>11</v>
      </c>
      <c r="AO5" s="258" t="s">
        <v>131</v>
      </c>
      <c r="AP5" s="130" t="s">
        <v>5</v>
      </c>
      <c r="AQ5" s="131" t="s">
        <v>6</v>
      </c>
      <c r="AR5" s="131" t="s">
        <v>7</v>
      </c>
      <c r="AS5" s="131" t="s">
        <v>8</v>
      </c>
      <c r="AT5" s="131" t="s">
        <v>9</v>
      </c>
      <c r="AU5" s="132" t="s">
        <v>10</v>
      </c>
      <c r="AV5" s="131" t="s">
        <v>11</v>
      </c>
      <c r="AW5" s="258" t="s">
        <v>131</v>
      </c>
      <c r="AX5" s="130" t="s">
        <v>5</v>
      </c>
      <c r="AY5" s="131" t="s">
        <v>6</v>
      </c>
      <c r="AZ5" s="131" t="s">
        <v>7</v>
      </c>
      <c r="BA5" s="131" t="s">
        <v>8</v>
      </c>
      <c r="BB5" s="131" t="s">
        <v>9</v>
      </c>
      <c r="BC5" s="131" t="s">
        <v>10</v>
      </c>
      <c r="BD5" s="131" t="s">
        <v>11</v>
      </c>
      <c r="BE5" s="261" t="s">
        <v>132</v>
      </c>
      <c r="BF5" s="136" t="s">
        <v>5</v>
      </c>
      <c r="BG5" s="137" t="s">
        <v>6</v>
      </c>
      <c r="BH5" s="137" t="s">
        <v>7</v>
      </c>
      <c r="BI5" s="137" t="s">
        <v>8</v>
      </c>
      <c r="BJ5" s="138" t="s">
        <v>9</v>
      </c>
      <c r="BK5" s="138" t="s">
        <v>10</v>
      </c>
      <c r="BL5" s="138" t="s">
        <v>11</v>
      </c>
      <c r="BM5" s="266" t="s">
        <v>131</v>
      </c>
    </row>
    <row r="6" spans="1:65" ht="15.5">
      <c r="A6" t="s">
        <v>133</v>
      </c>
      <c r="B6" s="28">
        <v>131709</v>
      </c>
      <c r="C6" s="28">
        <v>100475</v>
      </c>
      <c r="D6" s="28">
        <v>454960</v>
      </c>
      <c r="E6" s="112">
        <v>235213</v>
      </c>
      <c r="F6" s="119">
        <v>330000</v>
      </c>
      <c r="G6" s="113">
        <v>0</v>
      </c>
      <c r="H6" s="122">
        <v>139901.70000000001</v>
      </c>
      <c r="I6" s="274" t="s">
        <v>35</v>
      </c>
      <c r="J6" s="127" t="s">
        <v>69</v>
      </c>
      <c r="K6" s="122" t="s">
        <v>69</v>
      </c>
      <c r="L6" s="122" t="s">
        <v>69</v>
      </c>
      <c r="M6" s="112">
        <v>0</v>
      </c>
      <c r="N6" s="119">
        <v>0</v>
      </c>
      <c r="O6" s="111">
        <v>0</v>
      </c>
      <c r="P6" s="119">
        <v>182206.23</v>
      </c>
      <c r="Q6" s="252" t="s">
        <v>35</v>
      </c>
      <c r="R6" s="27">
        <v>741163</v>
      </c>
      <c r="S6" s="28">
        <v>1329712</v>
      </c>
      <c r="T6" s="28">
        <v>1369083</v>
      </c>
      <c r="U6" s="112">
        <v>1031778</v>
      </c>
      <c r="V6" s="119">
        <v>1829202.25</v>
      </c>
      <c r="W6" s="110">
        <v>882750</v>
      </c>
      <c r="X6" s="175">
        <v>1649640.72</v>
      </c>
      <c r="Y6" s="252" t="s">
        <v>35</v>
      </c>
      <c r="Z6" s="28">
        <v>0</v>
      </c>
      <c r="AA6" s="28">
        <v>413605</v>
      </c>
      <c r="AB6" s="28">
        <v>0</v>
      </c>
      <c r="AC6" s="28">
        <v>0</v>
      </c>
      <c r="AD6" s="119">
        <v>500000</v>
      </c>
      <c r="AE6" s="110" t="s">
        <v>69</v>
      </c>
      <c r="AF6" s="112">
        <v>500000</v>
      </c>
      <c r="AG6" s="252" t="s">
        <v>35</v>
      </c>
      <c r="AH6" s="27">
        <v>2610430</v>
      </c>
      <c r="AI6" s="28">
        <v>2716111</v>
      </c>
      <c r="AJ6" s="28">
        <v>1621796</v>
      </c>
      <c r="AK6" s="28">
        <v>1384531</v>
      </c>
      <c r="AL6" s="119">
        <v>3305926.2399999998</v>
      </c>
      <c r="AM6" s="110">
        <v>4979701.3499999996</v>
      </c>
      <c r="AN6" s="112">
        <v>2488281.58</v>
      </c>
      <c r="AO6" s="252" t="s">
        <v>35</v>
      </c>
      <c r="AP6" s="116">
        <v>1051802</v>
      </c>
      <c r="AQ6" s="112">
        <v>1557318</v>
      </c>
      <c r="AR6" s="112">
        <v>2704658</v>
      </c>
      <c r="AS6" s="112">
        <v>2201933</v>
      </c>
      <c r="AT6" s="119">
        <v>1949141.99</v>
      </c>
      <c r="AU6" s="110">
        <v>3000000</v>
      </c>
      <c r="AV6" s="112">
        <v>3827597.62</v>
      </c>
      <c r="AW6" s="252" t="s">
        <v>35</v>
      </c>
      <c r="AX6" s="118">
        <v>806709</v>
      </c>
      <c r="AY6" s="112">
        <v>81318</v>
      </c>
      <c r="AZ6" s="112">
        <v>141117</v>
      </c>
      <c r="BA6" s="117">
        <v>0</v>
      </c>
      <c r="BB6" s="117" t="s">
        <v>69</v>
      </c>
      <c r="BC6" s="117">
        <v>751476.01</v>
      </c>
      <c r="BD6" s="117">
        <v>348379.88</v>
      </c>
      <c r="BE6" s="259" t="s">
        <v>35</v>
      </c>
      <c r="BF6" s="142">
        <f t="shared" ref="BF6:BM8" si="0">SUM(B6,J6,R6,Z6,AH6,AP6,AX6)</f>
        <v>5341813</v>
      </c>
      <c r="BG6" s="100">
        <f t="shared" si="0"/>
        <v>6198539</v>
      </c>
      <c r="BH6" s="100">
        <f t="shared" si="0"/>
        <v>6291614</v>
      </c>
      <c r="BI6" s="100">
        <f t="shared" si="0"/>
        <v>4853455</v>
      </c>
      <c r="BJ6" s="100">
        <f t="shared" si="0"/>
        <v>7914270.4800000004</v>
      </c>
      <c r="BK6" s="100">
        <f t="shared" si="0"/>
        <v>9613927.3599999994</v>
      </c>
      <c r="BL6" s="100">
        <f t="shared" si="0"/>
        <v>9136007.7300000023</v>
      </c>
      <c r="BM6" s="267">
        <f t="shared" si="0"/>
        <v>0</v>
      </c>
    </row>
    <row r="7" spans="1:65" ht="17.5">
      <c r="A7" t="s">
        <v>134</v>
      </c>
      <c r="B7" s="118">
        <v>97976</v>
      </c>
      <c r="C7" s="119">
        <v>108275</v>
      </c>
      <c r="D7" s="119">
        <v>49996</v>
      </c>
      <c r="E7" s="119">
        <v>38628.51</v>
      </c>
      <c r="F7" s="119">
        <v>89820.483333333337</v>
      </c>
      <c r="G7" s="113">
        <v>0</v>
      </c>
      <c r="H7" s="169">
        <v>856792.51</v>
      </c>
      <c r="I7" s="271">
        <v>0</v>
      </c>
      <c r="J7" s="118">
        <v>175000</v>
      </c>
      <c r="K7" s="119">
        <v>61249</v>
      </c>
      <c r="L7" s="119">
        <v>180000</v>
      </c>
      <c r="M7" s="119">
        <v>200000</v>
      </c>
      <c r="N7" s="119">
        <v>524902.39</v>
      </c>
      <c r="O7" s="111">
        <v>202500</v>
      </c>
      <c r="P7" s="119">
        <v>83239.179999999993</v>
      </c>
      <c r="Q7" s="252">
        <v>264248.64</v>
      </c>
      <c r="R7" s="118">
        <v>1429472</v>
      </c>
      <c r="S7" s="119">
        <v>1374468</v>
      </c>
      <c r="T7" s="119">
        <v>1593901</v>
      </c>
      <c r="U7" s="119">
        <v>2119921.0699999998</v>
      </c>
      <c r="V7" s="119">
        <v>1776320.3583333332</v>
      </c>
      <c r="W7" s="111">
        <v>3190966.28</v>
      </c>
      <c r="X7" s="176">
        <v>2573017.0699999998</v>
      </c>
      <c r="Y7" s="255">
        <v>4152897.64</v>
      </c>
      <c r="Z7" s="119">
        <v>0</v>
      </c>
      <c r="AA7" s="119">
        <v>0</v>
      </c>
      <c r="AB7" s="119">
        <v>278076</v>
      </c>
      <c r="AC7" s="119">
        <v>80000</v>
      </c>
      <c r="AD7" s="119">
        <v>121118.16</v>
      </c>
      <c r="AE7" s="111">
        <v>665566</v>
      </c>
      <c r="AF7" s="119">
        <v>643093</v>
      </c>
      <c r="AG7" s="252">
        <v>194900</v>
      </c>
      <c r="AH7" s="118">
        <v>977714</v>
      </c>
      <c r="AI7" s="119">
        <v>1063039</v>
      </c>
      <c r="AJ7" s="119">
        <v>511942</v>
      </c>
      <c r="AK7" s="119">
        <v>3122646.45</v>
      </c>
      <c r="AL7" s="119">
        <v>2975039.48</v>
      </c>
      <c r="AM7" s="111">
        <v>2979008.49</v>
      </c>
      <c r="AN7" s="119">
        <v>2966438.6</v>
      </c>
      <c r="AO7" s="252">
        <v>4785823.9800000004</v>
      </c>
      <c r="AP7" s="118">
        <v>1356220</v>
      </c>
      <c r="AQ7" s="119">
        <v>1383291</v>
      </c>
      <c r="AR7" s="119">
        <v>1776490</v>
      </c>
      <c r="AS7" s="119">
        <v>1591098.6666666667</v>
      </c>
      <c r="AT7" s="119">
        <v>3333117.6783333332</v>
      </c>
      <c r="AU7" s="111">
        <v>1597168.395</v>
      </c>
      <c r="AV7" s="119">
        <v>2475063.21</v>
      </c>
      <c r="AW7" s="252">
        <v>4041694.06</v>
      </c>
      <c r="AX7" s="119">
        <v>168988</v>
      </c>
      <c r="AY7" s="119">
        <v>205000</v>
      </c>
      <c r="AZ7" s="119">
        <v>200000</v>
      </c>
      <c r="BA7" s="117">
        <v>164417.64000000001</v>
      </c>
      <c r="BB7" s="117">
        <v>617100.1100000001</v>
      </c>
      <c r="BC7" s="117">
        <v>386615.11499999999</v>
      </c>
      <c r="BD7" s="117">
        <v>966577.67</v>
      </c>
      <c r="BE7" s="259">
        <v>499145.9</v>
      </c>
      <c r="BF7" s="142">
        <f t="shared" si="0"/>
        <v>4205370</v>
      </c>
      <c r="BG7" s="100">
        <f t="shared" si="0"/>
        <v>4195322</v>
      </c>
      <c r="BH7" s="100">
        <f t="shared" si="0"/>
        <v>4590405</v>
      </c>
      <c r="BI7" s="100">
        <f t="shared" si="0"/>
        <v>7316712.3366666669</v>
      </c>
      <c r="BJ7" s="100">
        <f t="shared" si="0"/>
        <v>9437418.6599999983</v>
      </c>
      <c r="BK7" s="100">
        <f t="shared" si="0"/>
        <v>9021824.2799999993</v>
      </c>
      <c r="BL7" s="100">
        <f t="shared" si="0"/>
        <v>10564221.24</v>
      </c>
      <c r="BM7" s="267">
        <f t="shared" si="0"/>
        <v>13938710.220000003</v>
      </c>
    </row>
    <row r="8" spans="1:65" ht="18.5">
      <c r="A8" t="s">
        <v>135</v>
      </c>
      <c r="B8" s="127">
        <v>0</v>
      </c>
      <c r="C8" s="122">
        <v>0</v>
      </c>
      <c r="D8" s="122">
        <v>0</v>
      </c>
      <c r="E8" s="112">
        <v>0</v>
      </c>
      <c r="F8" s="119">
        <v>0</v>
      </c>
      <c r="G8" s="113">
        <v>0</v>
      </c>
      <c r="H8" s="122">
        <v>0</v>
      </c>
      <c r="I8" s="271">
        <v>0</v>
      </c>
      <c r="J8" s="127">
        <v>0</v>
      </c>
      <c r="K8" s="122">
        <v>0</v>
      </c>
      <c r="L8" s="122">
        <v>0</v>
      </c>
      <c r="M8" s="112">
        <v>0</v>
      </c>
      <c r="N8" s="119">
        <v>0</v>
      </c>
      <c r="O8" s="111">
        <v>0</v>
      </c>
      <c r="P8" s="119">
        <v>0</v>
      </c>
      <c r="Q8" s="252">
        <v>0</v>
      </c>
      <c r="R8" s="127">
        <v>0</v>
      </c>
      <c r="S8" s="122">
        <v>0</v>
      </c>
      <c r="T8" s="122">
        <v>0</v>
      </c>
      <c r="U8" s="112">
        <v>0</v>
      </c>
      <c r="V8" s="119">
        <v>0</v>
      </c>
      <c r="W8" s="110">
        <v>0</v>
      </c>
      <c r="X8" s="175">
        <v>0</v>
      </c>
      <c r="Y8" s="252">
        <v>0</v>
      </c>
      <c r="Z8" s="122">
        <v>0</v>
      </c>
      <c r="AA8" s="122">
        <v>0</v>
      </c>
      <c r="AB8" s="122">
        <v>0</v>
      </c>
      <c r="AC8" s="112">
        <v>0</v>
      </c>
      <c r="AD8" s="197">
        <v>0</v>
      </c>
      <c r="AE8" s="198">
        <v>0</v>
      </c>
      <c r="AF8" s="112">
        <v>0</v>
      </c>
      <c r="AG8" s="252">
        <v>0</v>
      </c>
      <c r="AH8" s="127">
        <v>0</v>
      </c>
      <c r="AI8" s="127">
        <v>0</v>
      </c>
      <c r="AJ8" s="127">
        <v>0</v>
      </c>
      <c r="AK8" s="127">
        <v>0</v>
      </c>
      <c r="AL8" s="127">
        <v>0</v>
      </c>
      <c r="AM8" s="110">
        <v>2461713.8000000003</v>
      </c>
      <c r="AN8" s="112">
        <v>6402499.25</v>
      </c>
      <c r="AO8" s="252">
        <v>0</v>
      </c>
      <c r="AP8" s="127">
        <v>0</v>
      </c>
      <c r="AQ8" s="122">
        <v>0</v>
      </c>
      <c r="AR8" s="122">
        <v>0</v>
      </c>
      <c r="AS8" s="112">
        <v>0</v>
      </c>
      <c r="AT8" s="119">
        <v>0</v>
      </c>
      <c r="AU8" s="110">
        <v>0</v>
      </c>
      <c r="AV8" s="112">
        <v>0</v>
      </c>
      <c r="AW8" s="252"/>
      <c r="AX8" s="127"/>
      <c r="AY8" s="122"/>
      <c r="AZ8" s="122"/>
      <c r="BA8" s="117">
        <v>0</v>
      </c>
      <c r="BB8" s="117" t="s">
        <v>69</v>
      </c>
      <c r="BC8" s="120">
        <v>0</v>
      </c>
      <c r="BD8" s="120">
        <v>0</v>
      </c>
      <c r="BE8" s="264"/>
      <c r="BF8" s="142">
        <f t="shared" si="0"/>
        <v>0</v>
      </c>
      <c r="BG8" s="100">
        <f t="shared" si="0"/>
        <v>0</v>
      </c>
      <c r="BH8" s="100">
        <f t="shared" si="0"/>
        <v>0</v>
      </c>
      <c r="BI8" s="100">
        <f t="shared" si="0"/>
        <v>0</v>
      </c>
      <c r="BJ8" s="100">
        <f t="shared" si="0"/>
        <v>0</v>
      </c>
      <c r="BK8" s="100">
        <f t="shared" si="0"/>
        <v>2461713.8000000003</v>
      </c>
      <c r="BL8" s="100">
        <f t="shared" si="0"/>
        <v>6402499.25</v>
      </c>
      <c r="BM8" s="267">
        <f t="shared" si="0"/>
        <v>0</v>
      </c>
    </row>
    <row r="9" spans="1:65" ht="15.5">
      <c r="A9" s="99" t="s">
        <v>136</v>
      </c>
      <c r="B9" s="128"/>
      <c r="C9" s="126"/>
      <c r="D9" s="126"/>
      <c r="E9" s="100"/>
      <c r="F9" s="100"/>
      <c r="G9" s="126"/>
      <c r="H9" s="170"/>
      <c r="I9" s="271"/>
      <c r="J9" s="128"/>
      <c r="K9" s="126"/>
      <c r="L9" s="126"/>
      <c r="M9" s="100"/>
      <c r="N9" s="100"/>
      <c r="O9" s="121"/>
      <c r="P9" s="172"/>
      <c r="Q9" s="252"/>
      <c r="R9" s="125"/>
      <c r="S9" s="126"/>
      <c r="T9" s="126"/>
      <c r="U9" s="100"/>
      <c r="V9" s="100"/>
      <c r="W9" s="103"/>
      <c r="X9" s="177"/>
      <c r="Y9" s="256"/>
      <c r="Z9" s="126"/>
      <c r="AA9" s="126"/>
      <c r="AB9" s="126"/>
      <c r="AC9" s="100"/>
      <c r="AD9" s="126"/>
      <c r="AE9" s="103"/>
      <c r="AF9" s="100"/>
      <c r="AG9" s="256"/>
      <c r="AH9" s="128"/>
      <c r="AI9" s="126"/>
      <c r="AJ9" s="126"/>
      <c r="AK9" s="100"/>
      <c r="AL9" s="100"/>
      <c r="AM9" s="103"/>
      <c r="AN9" s="100"/>
      <c r="AO9" s="256"/>
      <c r="AP9" s="128"/>
      <c r="AQ9" s="126"/>
      <c r="AR9" s="126"/>
      <c r="AS9" s="100"/>
      <c r="AT9" s="100"/>
      <c r="AU9" s="103"/>
      <c r="AV9" s="100"/>
      <c r="AW9" s="256"/>
      <c r="AX9" s="128"/>
      <c r="AY9" s="126"/>
      <c r="AZ9" s="126"/>
      <c r="BA9" s="100"/>
      <c r="BB9" s="100"/>
      <c r="BC9" s="100"/>
      <c r="BD9" s="100"/>
      <c r="BE9" s="256"/>
      <c r="BF9" s="143"/>
      <c r="BG9" s="139"/>
      <c r="BH9" s="139"/>
      <c r="BI9" s="139"/>
      <c r="BJ9" s="139"/>
      <c r="BK9" s="139"/>
      <c r="BL9" s="139"/>
      <c r="BM9" s="267"/>
    </row>
    <row r="10" spans="1:65" ht="17.5">
      <c r="A10" s="94" t="s">
        <v>137</v>
      </c>
      <c r="B10" s="45">
        <v>0</v>
      </c>
      <c r="C10" s="47">
        <v>85000</v>
      </c>
      <c r="D10" s="47">
        <v>45000</v>
      </c>
      <c r="E10" s="28">
        <v>6250</v>
      </c>
      <c r="F10" s="112">
        <v>41666.666666666664</v>
      </c>
      <c r="G10" s="113">
        <v>0</v>
      </c>
      <c r="H10" s="122">
        <v>305375.48</v>
      </c>
      <c r="I10" s="271">
        <v>0</v>
      </c>
      <c r="J10" s="45">
        <v>0</v>
      </c>
      <c r="K10" s="46">
        <v>0</v>
      </c>
      <c r="L10" s="47">
        <v>0</v>
      </c>
      <c r="M10" s="28">
        <v>0</v>
      </c>
      <c r="N10" s="28">
        <v>0</v>
      </c>
      <c r="O10" s="111">
        <v>0</v>
      </c>
      <c r="P10" s="119">
        <v>4042.14</v>
      </c>
      <c r="Q10" s="252">
        <v>24657.83</v>
      </c>
      <c r="R10" s="45">
        <v>25000</v>
      </c>
      <c r="S10" s="47">
        <v>227500</v>
      </c>
      <c r="T10" s="47">
        <v>119499</v>
      </c>
      <c r="U10" s="119">
        <v>441250</v>
      </c>
      <c r="V10" s="112">
        <v>211666.66666666666</v>
      </c>
      <c r="W10" s="110">
        <v>229137.10666666666</v>
      </c>
      <c r="X10" s="175">
        <v>337375.47</v>
      </c>
      <c r="Y10" s="255">
        <v>525633.32999999996</v>
      </c>
      <c r="Z10" s="122">
        <v>0</v>
      </c>
      <c r="AA10" s="116">
        <v>25000</v>
      </c>
      <c r="AB10" s="116">
        <v>100000</v>
      </c>
      <c r="AC10" s="112">
        <v>20000</v>
      </c>
      <c r="AD10" s="112">
        <v>50000</v>
      </c>
      <c r="AE10" s="110">
        <v>525000</v>
      </c>
      <c r="AF10" s="112">
        <v>4042.14</v>
      </c>
      <c r="AG10" s="252">
        <v>25000</v>
      </c>
      <c r="AH10" s="45">
        <v>310563</v>
      </c>
      <c r="AI10" s="46">
        <v>681985</v>
      </c>
      <c r="AJ10" s="46">
        <v>142917</v>
      </c>
      <c r="AK10" s="47">
        <v>451250</v>
      </c>
      <c r="AL10" s="47">
        <v>530000</v>
      </c>
      <c r="AM10" s="111">
        <v>720000</v>
      </c>
      <c r="AN10" s="119">
        <v>4778539.34</v>
      </c>
      <c r="AO10" s="252">
        <v>1846365.7</v>
      </c>
      <c r="AP10" s="27">
        <v>162500</v>
      </c>
      <c r="AQ10" s="28">
        <v>233015</v>
      </c>
      <c r="AR10" s="28">
        <v>279879</v>
      </c>
      <c r="AS10" s="47">
        <v>281250</v>
      </c>
      <c r="AT10" s="28">
        <v>116666.66666666666</v>
      </c>
      <c r="AU10" s="110">
        <v>132429.10666666666</v>
      </c>
      <c r="AV10" s="112">
        <v>5617945.8700000001</v>
      </c>
      <c r="AW10" s="252">
        <v>564382.93999999994</v>
      </c>
      <c r="AX10" s="27">
        <v>37500</v>
      </c>
      <c r="AY10" s="28">
        <v>7500</v>
      </c>
      <c r="AZ10" s="28">
        <v>16250</v>
      </c>
      <c r="BA10" s="47">
        <v>0</v>
      </c>
      <c r="BB10" s="28">
        <v>210000</v>
      </c>
      <c r="BC10" s="112">
        <v>105088.68</v>
      </c>
      <c r="BD10" s="112">
        <v>529042.15</v>
      </c>
      <c r="BE10" s="252">
        <v>875729.05</v>
      </c>
      <c r="BF10" s="142">
        <f t="shared" ref="BF10:BM12" si="1">SUM(B10,J10,R10,Z10,AH10,AP10,AX10)</f>
        <v>535563</v>
      </c>
      <c r="BG10" s="100">
        <f t="shared" si="1"/>
        <v>1260000</v>
      </c>
      <c r="BH10" s="100">
        <f t="shared" si="1"/>
        <v>703545</v>
      </c>
      <c r="BI10" s="100">
        <f t="shared" si="1"/>
        <v>1200000</v>
      </c>
      <c r="BJ10" s="100">
        <f t="shared" si="1"/>
        <v>1160000</v>
      </c>
      <c r="BK10" s="100">
        <f t="shared" si="1"/>
        <v>1711654.8933333333</v>
      </c>
      <c r="BL10" s="100">
        <f t="shared" si="1"/>
        <v>11576362.590000002</v>
      </c>
      <c r="BM10" s="267">
        <f t="shared" si="1"/>
        <v>3861768.8499999996</v>
      </c>
    </row>
    <row r="11" spans="1:65" ht="17.5">
      <c r="A11" s="94" t="s">
        <v>138</v>
      </c>
      <c r="B11" s="27">
        <v>25000</v>
      </c>
      <c r="C11" s="28">
        <v>38333</v>
      </c>
      <c r="D11" s="113">
        <v>0</v>
      </c>
      <c r="E11" s="28">
        <v>0</v>
      </c>
      <c r="F11" s="112">
        <v>0</v>
      </c>
      <c r="G11" s="113">
        <v>0</v>
      </c>
      <c r="H11" s="169">
        <v>0</v>
      </c>
      <c r="I11" s="271">
        <v>0</v>
      </c>
      <c r="J11" s="27">
        <v>25000</v>
      </c>
      <c r="K11" s="28">
        <v>138000</v>
      </c>
      <c r="L11" s="28">
        <v>20000</v>
      </c>
      <c r="M11" s="28">
        <v>0</v>
      </c>
      <c r="N11" s="28">
        <v>0</v>
      </c>
      <c r="O11" s="111">
        <v>64137.106666666667</v>
      </c>
      <c r="P11" s="119">
        <v>0</v>
      </c>
      <c r="Q11" s="252">
        <v>0</v>
      </c>
      <c r="R11" s="27">
        <v>125000</v>
      </c>
      <c r="S11" s="112">
        <v>160833</v>
      </c>
      <c r="T11" s="112">
        <v>253896</v>
      </c>
      <c r="U11" s="119">
        <v>30000</v>
      </c>
      <c r="V11" s="112">
        <v>76641</v>
      </c>
      <c r="W11" s="110">
        <v>30000</v>
      </c>
      <c r="X11" s="175">
        <v>50000</v>
      </c>
      <c r="Y11" s="252">
        <v>0</v>
      </c>
      <c r="Z11" s="122"/>
      <c r="AA11" s="112">
        <v>0</v>
      </c>
      <c r="AB11" s="112">
        <v>0</v>
      </c>
      <c r="AC11" s="112">
        <v>0</v>
      </c>
      <c r="AD11" s="112">
        <v>0</v>
      </c>
      <c r="AE11" s="110">
        <v>0</v>
      </c>
      <c r="AF11" s="112">
        <v>25000</v>
      </c>
      <c r="AG11" s="252">
        <v>55100</v>
      </c>
      <c r="AH11" s="27">
        <v>350000</v>
      </c>
      <c r="AI11" s="28">
        <v>283333</v>
      </c>
      <c r="AJ11" s="28">
        <v>717082</v>
      </c>
      <c r="AK11" s="47">
        <v>1069094.1400000001</v>
      </c>
      <c r="AL11" s="28">
        <v>519877</v>
      </c>
      <c r="AM11" s="110">
        <v>237796.7</v>
      </c>
      <c r="AN11" s="112">
        <v>1060152</v>
      </c>
      <c r="AO11" s="252">
        <v>191700</v>
      </c>
      <c r="AP11" s="27">
        <v>202500</v>
      </c>
      <c r="AQ11" s="28">
        <v>275000</v>
      </c>
      <c r="AR11" s="28">
        <v>435751</v>
      </c>
      <c r="AS11" s="47">
        <v>675000</v>
      </c>
      <c r="AT11" s="28">
        <v>214154</v>
      </c>
      <c r="AU11" s="110">
        <v>444207.65</v>
      </c>
      <c r="AV11" s="112">
        <v>155000</v>
      </c>
      <c r="AW11" s="252">
        <v>499837.31</v>
      </c>
      <c r="AX11" s="27">
        <v>87500</v>
      </c>
      <c r="AY11" s="28">
        <v>87500</v>
      </c>
      <c r="AZ11" s="28">
        <v>25000</v>
      </c>
      <c r="BA11" s="47">
        <v>30000</v>
      </c>
      <c r="BB11" s="28">
        <v>0</v>
      </c>
      <c r="BC11" s="112">
        <v>162395.65</v>
      </c>
      <c r="BD11" s="112">
        <v>20000</v>
      </c>
      <c r="BE11" s="252">
        <v>0</v>
      </c>
      <c r="BF11" s="142">
        <f t="shared" si="1"/>
        <v>815000</v>
      </c>
      <c r="BG11" s="100">
        <f t="shared" si="1"/>
        <v>982999</v>
      </c>
      <c r="BH11" s="100">
        <f t="shared" si="1"/>
        <v>1451729</v>
      </c>
      <c r="BI11" s="100">
        <f t="shared" si="1"/>
        <v>1804094.1400000001</v>
      </c>
      <c r="BJ11" s="100">
        <f t="shared" si="1"/>
        <v>810672</v>
      </c>
      <c r="BK11" s="100">
        <f t="shared" si="1"/>
        <v>938537.10666666669</v>
      </c>
      <c r="BL11" s="100">
        <f t="shared" si="1"/>
        <v>1310152</v>
      </c>
      <c r="BM11" s="267">
        <f t="shared" si="1"/>
        <v>746637.31</v>
      </c>
    </row>
    <row r="12" spans="1:65" ht="16" thickBot="1">
      <c r="A12" s="95" t="s">
        <v>139</v>
      </c>
      <c r="B12" s="105">
        <v>277875</v>
      </c>
      <c r="C12" s="96">
        <v>224903</v>
      </c>
      <c r="D12" s="114">
        <v>762271</v>
      </c>
      <c r="E12" s="96">
        <v>432091.9</v>
      </c>
      <c r="F12" s="124">
        <v>507542.23333333334</v>
      </c>
      <c r="G12" s="205">
        <v>0</v>
      </c>
      <c r="H12" s="206">
        <v>572850.78</v>
      </c>
      <c r="I12" s="272">
        <v>0</v>
      </c>
      <c r="J12" s="105">
        <v>66667</v>
      </c>
      <c r="K12" s="96">
        <v>66428</v>
      </c>
      <c r="L12" s="96">
        <v>200000</v>
      </c>
      <c r="M12" s="96">
        <v>200000</v>
      </c>
      <c r="N12" s="96">
        <v>506300.5</v>
      </c>
      <c r="O12" s="129">
        <v>227900.54</v>
      </c>
      <c r="P12" s="173">
        <f>SUM(P6+P7+P8+P10+P11)</f>
        <v>269487.55000000005</v>
      </c>
      <c r="Q12" s="253">
        <v>12833.34</v>
      </c>
      <c r="R12" s="105">
        <v>1619391</v>
      </c>
      <c r="S12" s="124">
        <v>5830053</v>
      </c>
      <c r="T12" s="124">
        <v>9038550</v>
      </c>
      <c r="U12" s="124">
        <v>5535086.7799999993</v>
      </c>
      <c r="V12" s="124">
        <v>5160473.6433333335</v>
      </c>
      <c r="W12" s="123">
        <v>5588678.4500000011</v>
      </c>
      <c r="X12" s="178">
        <v>3892829.09</v>
      </c>
      <c r="Y12" s="257">
        <v>2508770.0499999998</v>
      </c>
      <c r="Z12" s="171"/>
      <c r="AA12" s="124">
        <v>438605</v>
      </c>
      <c r="AB12" s="124">
        <v>130060</v>
      </c>
      <c r="AC12" s="124">
        <v>33000</v>
      </c>
      <c r="AD12" s="124">
        <v>673000</v>
      </c>
      <c r="AE12" s="123">
        <v>269500</v>
      </c>
      <c r="AF12" s="124">
        <v>607006.43000000005</v>
      </c>
      <c r="AG12" s="253">
        <v>486500</v>
      </c>
      <c r="AH12" s="105">
        <v>4214279</v>
      </c>
      <c r="AI12" s="96">
        <v>5804149</v>
      </c>
      <c r="AJ12" s="96">
        <v>3238769</v>
      </c>
      <c r="AK12" s="96">
        <v>8769343.5800000001</v>
      </c>
      <c r="AL12" s="96">
        <v>8014734.3733333331</v>
      </c>
      <c r="AM12" s="123">
        <v>19815611.473724801</v>
      </c>
      <c r="AN12" s="124">
        <v>7534411.3600000003</v>
      </c>
      <c r="AO12" s="253">
        <v>8634936.9000000004</v>
      </c>
      <c r="AP12" s="105">
        <v>3723901</v>
      </c>
      <c r="AQ12" s="96">
        <v>5052566</v>
      </c>
      <c r="AR12" s="96">
        <v>10362569</v>
      </c>
      <c r="AS12" s="141">
        <v>7637188.8100000005</v>
      </c>
      <c r="AT12" s="96">
        <v>5698789.0899999999</v>
      </c>
      <c r="AU12" s="123">
        <v>5865396.54</v>
      </c>
      <c r="AV12" s="124">
        <v>8118586.0199999996</v>
      </c>
      <c r="AW12" s="253">
        <v>3690127.67</v>
      </c>
      <c r="AX12" s="105">
        <v>2279611</v>
      </c>
      <c r="AY12" s="96">
        <v>297750</v>
      </c>
      <c r="AZ12" s="96">
        <v>338552</v>
      </c>
      <c r="BA12" s="96">
        <v>261032.9</v>
      </c>
      <c r="BB12" s="96">
        <v>823901.85</v>
      </c>
      <c r="BC12" s="124">
        <v>1319435</v>
      </c>
      <c r="BD12" s="124">
        <v>788499.08</v>
      </c>
      <c r="BE12" s="253">
        <v>1384500</v>
      </c>
      <c r="BF12" s="144">
        <f t="shared" si="1"/>
        <v>12181724</v>
      </c>
      <c r="BG12" s="140">
        <f t="shared" si="1"/>
        <v>17714454</v>
      </c>
      <c r="BH12" s="140">
        <f t="shared" si="1"/>
        <v>24070771</v>
      </c>
      <c r="BI12" s="140">
        <f t="shared" si="1"/>
        <v>22867743.969999999</v>
      </c>
      <c r="BJ12" s="140">
        <f t="shared" si="1"/>
        <v>21384741.690000001</v>
      </c>
      <c r="BK12" s="140">
        <f t="shared" si="1"/>
        <v>33086522.003724802</v>
      </c>
      <c r="BL12" s="140">
        <f t="shared" si="1"/>
        <v>21783670.309999999</v>
      </c>
      <c r="BM12" s="268">
        <f t="shared" si="1"/>
        <v>16717667.959999999</v>
      </c>
    </row>
    <row r="13" spans="1:65" ht="18" thickTop="1">
      <c r="A13" t="s">
        <v>140</v>
      </c>
      <c r="B13" s="98">
        <f>SUM(B6:B12)</f>
        <v>532560</v>
      </c>
      <c r="C13" s="101">
        <f t="shared" ref="C13:M13" si="2">SUM(C6:C12)</f>
        <v>556986</v>
      </c>
      <c r="D13" s="101">
        <f t="shared" si="2"/>
        <v>1312227</v>
      </c>
      <c r="E13" s="101">
        <f t="shared" si="2"/>
        <v>712183.41</v>
      </c>
      <c r="F13" s="101">
        <f t="shared" si="2"/>
        <v>969029.3833333333</v>
      </c>
      <c r="G13" s="102">
        <f t="shared" si="2"/>
        <v>0</v>
      </c>
      <c r="H13" s="102">
        <f t="shared" si="2"/>
        <v>1874920.47</v>
      </c>
      <c r="I13" s="273" t="s">
        <v>35</v>
      </c>
      <c r="J13" s="98">
        <f t="shared" si="2"/>
        <v>266667</v>
      </c>
      <c r="K13" s="101">
        <f t="shared" si="2"/>
        <v>265677</v>
      </c>
      <c r="L13" s="101">
        <f t="shared" si="2"/>
        <v>400000</v>
      </c>
      <c r="M13" s="101">
        <f t="shared" si="2"/>
        <v>400000</v>
      </c>
      <c r="N13" s="101">
        <f>SUM(N6:N12)</f>
        <v>1031202.89</v>
      </c>
      <c r="O13" s="102">
        <f>SUM(O6:O12)</f>
        <v>494537.64666666673</v>
      </c>
      <c r="P13" s="102">
        <f>SUM(P6:P12)</f>
        <v>538975.10000000009</v>
      </c>
      <c r="Q13" s="254">
        <f>SUM(Q6:Q12)</f>
        <v>301739.81000000006</v>
      </c>
      <c r="R13" s="98">
        <f t="shared" ref="R13" si="3">SUM(R6:R12)</f>
        <v>3940026</v>
      </c>
      <c r="S13" s="101">
        <f t="shared" ref="S13" si="4">SUM(S6:S12)</f>
        <v>8922566</v>
      </c>
      <c r="T13" s="101">
        <f t="shared" ref="T13" si="5">SUM(T6:T12)</f>
        <v>12374929</v>
      </c>
      <c r="U13" s="101">
        <f t="shared" ref="U13" si="6">SUM(U6:U12)</f>
        <v>9158035.8499999996</v>
      </c>
      <c r="V13" s="101">
        <f t="shared" ref="V13" si="7">SUM(V6:V12)</f>
        <v>9054303.918333333</v>
      </c>
      <c r="W13" s="102">
        <f>SUM(W6:W12)</f>
        <v>9921531.8366666678</v>
      </c>
      <c r="X13" s="102">
        <f>SUM(X6:X12)</f>
        <v>8502862.3499999996</v>
      </c>
      <c r="Y13" s="254">
        <f>SUM(Y6:Y12)</f>
        <v>7187301.0199999996</v>
      </c>
      <c r="Z13" s="98">
        <f t="shared" ref="Z13:BM13" si="8">SUM(Z6:Z12)</f>
        <v>0</v>
      </c>
      <c r="AA13" s="101">
        <f t="shared" si="8"/>
        <v>877210</v>
      </c>
      <c r="AB13" s="101">
        <f t="shared" si="8"/>
        <v>508136</v>
      </c>
      <c r="AC13" s="101">
        <f>SUM(AC6:AC12)</f>
        <v>133000</v>
      </c>
      <c r="AD13" s="101">
        <f t="shared" si="8"/>
        <v>1344118.1600000001</v>
      </c>
      <c r="AE13" s="102">
        <f>SUM(AE6:AE12)</f>
        <v>1460066</v>
      </c>
      <c r="AF13" s="102">
        <f>SUM(AF6:AF12)</f>
        <v>1779141.5699999998</v>
      </c>
      <c r="AG13" s="254">
        <f>SUM(AG6:AG12)</f>
        <v>761500</v>
      </c>
      <c r="AH13" s="98">
        <f t="shared" si="8"/>
        <v>8462986</v>
      </c>
      <c r="AI13" s="101">
        <f t="shared" si="8"/>
        <v>10548617</v>
      </c>
      <c r="AJ13" s="101">
        <f t="shared" si="8"/>
        <v>6232506</v>
      </c>
      <c r="AK13" s="101">
        <f t="shared" si="8"/>
        <v>14796865.17</v>
      </c>
      <c r="AL13" s="101">
        <f t="shared" si="8"/>
        <v>15345577.093333334</v>
      </c>
      <c r="AM13" s="102">
        <f>SUM(AM6:AM12)</f>
        <v>31193831.813724801</v>
      </c>
      <c r="AN13" s="102">
        <f>SUM(AN6:AN12)</f>
        <v>25230322.129999999</v>
      </c>
      <c r="AO13" s="254">
        <f>SUM(AO6:AO12)</f>
        <v>15458826.580000002</v>
      </c>
      <c r="AP13" s="98">
        <f t="shared" si="8"/>
        <v>6496923</v>
      </c>
      <c r="AQ13" s="101">
        <f t="shared" si="8"/>
        <v>8501190</v>
      </c>
      <c r="AR13" s="101">
        <f t="shared" si="8"/>
        <v>15559347</v>
      </c>
      <c r="AS13" s="101">
        <f t="shared" si="8"/>
        <v>12386470.476666667</v>
      </c>
      <c r="AT13" s="101">
        <f t="shared" si="8"/>
        <v>11311869.425000001</v>
      </c>
      <c r="AU13" s="102">
        <f t="shared" si="8"/>
        <v>11039201.691666666</v>
      </c>
      <c r="AV13" s="102">
        <f t="shared" si="8"/>
        <v>20194192.719999999</v>
      </c>
      <c r="AW13" s="254">
        <f t="shared" si="8"/>
        <v>8796041.9800000004</v>
      </c>
      <c r="AX13" s="98">
        <f>SUM(AX6:AX12)</f>
        <v>3380308</v>
      </c>
      <c r="AY13" s="101">
        <f t="shared" si="8"/>
        <v>679068</v>
      </c>
      <c r="AZ13" s="101">
        <f t="shared" si="8"/>
        <v>720919</v>
      </c>
      <c r="BA13" s="101">
        <f t="shared" si="8"/>
        <v>455450.54000000004</v>
      </c>
      <c r="BB13" s="101">
        <f t="shared" si="8"/>
        <v>1651001.96</v>
      </c>
      <c r="BC13" s="101">
        <f>SUM(BC6:BC12)</f>
        <v>2725010.4550000001</v>
      </c>
      <c r="BD13" s="101">
        <f>SUM(BD6:BD12)</f>
        <v>2652498.7800000003</v>
      </c>
      <c r="BE13" s="260">
        <f>SUM(BE6:BE12)</f>
        <v>2759374.95</v>
      </c>
      <c r="BF13" s="108">
        <f t="shared" si="8"/>
        <v>23079470</v>
      </c>
      <c r="BG13" s="109">
        <f t="shared" si="8"/>
        <v>30351314</v>
      </c>
      <c r="BH13" s="109">
        <f t="shared" si="8"/>
        <v>37108064</v>
      </c>
      <c r="BI13" s="109">
        <f>SUM(BI6:BI12)</f>
        <v>38042005.446666665</v>
      </c>
      <c r="BJ13" s="109">
        <f>SUM(BJ6:BJ12)</f>
        <v>40707102.829999998</v>
      </c>
      <c r="BK13" s="109">
        <f t="shared" si="8"/>
        <v>56834179.443724804</v>
      </c>
      <c r="BL13" s="263">
        <f t="shared" si="8"/>
        <v>60772913.120000005</v>
      </c>
      <c r="BM13" s="269">
        <f t="shared" si="8"/>
        <v>35264784.339999996</v>
      </c>
    </row>
    <row r="14" spans="1:65" ht="15.5">
      <c r="J14" s="18"/>
      <c r="S14" s="17"/>
      <c r="T14" s="17"/>
      <c r="U14" s="17"/>
      <c r="V14" s="17"/>
      <c r="W14" s="17"/>
      <c r="X14" s="17"/>
      <c r="Y14" s="17"/>
      <c r="Z14" s="17"/>
      <c r="AA14" s="17"/>
      <c r="AB14" s="17"/>
      <c r="AC14" s="17"/>
      <c r="AD14" s="17"/>
      <c r="AE14" s="17"/>
      <c r="AF14" s="17"/>
      <c r="AG14" s="17"/>
    </row>
    <row r="15" spans="1:65" ht="15.75" customHeight="1">
      <c r="A15" s="2"/>
    </row>
    <row r="16" spans="1:65" ht="37" customHeight="1">
      <c r="A16" s="240" t="s">
        <v>141</v>
      </c>
    </row>
    <row r="17" spans="1:1" ht="24.65" customHeight="1">
      <c r="A17" s="240" t="s">
        <v>142</v>
      </c>
    </row>
    <row r="18" spans="1:1" ht="37.5" customHeight="1">
      <c r="A18" s="240" t="s">
        <v>143</v>
      </c>
    </row>
    <row r="19" spans="1:1" ht="26.5" customHeight="1">
      <c r="A19" s="240" t="s">
        <v>144</v>
      </c>
    </row>
    <row r="20" spans="1:1" ht="50.15" customHeight="1">
      <c r="A20" s="240" t="s">
        <v>145</v>
      </c>
    </row>
    <row r="21" spans="1:1" ht="38.5" customHeight="1">
      <c r="A21" s="240" t="s">
        <v>146</v>
      </c>
    </row>
    <row r="22" spans="1:1" ht="37" customHeight="1">
      <c r="A22" s="262" t="s">
        <v>147</v>
      </c>
    </row>
    <row r="23" spans="1:1" ht="18.649999999999999" customHeight="1">
      <c r="A23" s="234"/>
    </row>
  </sheetData>
  <mergeCells count="8">
    <mergeCell ref="B4:I4"/>
    <mergeCell ref="J4:Q4"/>
    <mergeCell ref="R4:Y4"/>
    <mergeCell ref="Z4:AG4"/>
    <mergeCell ref="BF4:BL4"/>
    <mergeCell ref="AP4:AV4"/>
    <mergeCell ref="AH4:AO4"/>
    <mergeCell ref="AX4:BE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534EC-D128-5348-B8FF-4D428E69666F}">
  <sheetPr>
    <tabColor theme="9" tint="0.59999389629810485"/>
  </sheetPr>
  <dimension ref="A1:J22"/>
  <sheetViews>
    <sheetView zoomScale="85" workbookViewId="0">
      <selection activeCell="I12" sqref="I12"/>
    </sheetView>
  </sheetViews>
  <sheetFormatPr defaultColWidth="8.83203125" defaultRowHeight="12"/>
  <cols>
    <col min="1" max="1" width="6" style="75" customWidth="1"/>
    <col min="2" max="2" width="14.08203125" style="75" bestFit="1" customWidth="1"/>
    <col min="3" max="3" width="15.33203125" style="75" customWidth="1"/>
    <col min="4" max="4" width="18.58203125" style="75" customWidth="1"/>
    <col min="5" max="6" width="14.08203125" style="75" bestFit="1" customWidth="1"/>
    <col min="7" max="7" width="14.08203125" style="75" customWidth="1"/>
    <col min="8" max="8" width="14.08203125" style="75" bestFit="1" customWidth="1"/>
    <col min="9" max="10" width="10.33203125" style="75" bestFit="1" customWidth="1"/>
    <col min="11" max="16383" width="8.83203125" style="75"/>
    <col min="16384" max="16384" width="8.83203125" style="75" bestFit="1"/>
  </cols>
  <sheetData>
    <row r="1" spans="1:10" s="76" customFormat="1" ht="15.5">
      <c r="A1" s="77" t="s">
        <v>148</v>
      </c>
      <c r="B1" s="77"/>
      <c r="C1" s="77"/>
      <c r="D1" s="77"/>
      <c r="E1" s="77"/>
      <c r="F1" s="77"/>
      <c r="G1" s="77"/>
      <c r="H1" s="77"/>
    </row>
    <row r="2" spans="1:10" s="76" customFormat="1" ht="15.5">
      <c r="A2" t="s">
        <v>128</v>
      </c>
      <c r="B2" s="77"/>
      <c r="C2" s="77"/>
      <c r="D2" s="77"/>
      <c r="E2" s="77"/>
      <c r="F2" s="77"/>
      <c r="G2" s="77"/>
      <c r="H2" s="77"/>
    </row>
    <row r="3" spans="1:10" s="76" customFormat="1" ht="18" customHeight="1">
      <c r="A3" s="314" t="s">
        <v>129</v>
      </c>
      <c r="B3" s="314"/>
      <c r="C3" s="314"/>
      <c r="D3" s="314"/>
      <c r="E3" s="314"/>
      <c r="F3" s="314"/>
      <c r="G3" s="314"/>
      <c r="H3" s="77"/>
    </row>
    <row r="4" spans="1:10" s="76" customFormat="1" ht="15.5">
      <c r="A4"/>
      <c r="B4" s="77"/>
      <c r="C4" s="77"/>
      <c r="D4" s="77"/>
      <c r="E4" s="77"/>
      <c r="F4" s="77"/>
      <c r="G4" s="77"/>
      <c r="H4" s="77"/>
    </row>
    <row r="5" spans="1:10" ht="16" thickBot="1">
      <c r="A5" s="78"/>
      <c r="B5" s="78"/>
      <c r="C5" s="78"/>
      <c r="D5" s="78"/>
      <c r="E5" s="78"/>
      <c r="F5" s="78"/>
      <c r="G5" s="78"/>
      <c r="H5" s="78"/>
    </row>
    <row r="6" spans="1:10" ht="45" customHeight="1">
      <c r="A6" s="324"/>
      <c r="B6" s="322" t="s">
        <v>133</v>
      </c>
      <c r="C6" s="322" t="s">
        <v>149</v>
      </c>
      <c r="D6" s="320" t="s">
        <v>150</v>
      </c>
      <c r="E6" s="315" t="s">
        <v>151</v>
      </c>
      <c r="F6" s="316"/>
      <c r="G6" s="317"/>
      <c r="H6" s="318" t="s">
        <v>152</v>
      </c>
    </row>
    <row r="7" spans="1:10" ht="31" customHeight="1">
      <c r="A7" s="325"/>
      <c r="B7" s="323"/>
      <c r="C7" s="323"/>
      <c r="D7" s="321"/>
      <c r="E7" s="87" t="s">
        <v>153</v>
      </c>
      <c r="F7" s="80" t="s">
        <v>154</v>
      </c>
      <c r="G7" s="91" t="s">
        <v>155</v>
      </c>
      <c r="H7" s="319"/>
    </row>
    <row r="8" spans="1:10" ht="15.5">
      <c r="A8" s="79" t="s">
        <v>156</v>
      </c>
      <c r="B8" s="81">
        <v>139901.70000000001</v>
      </c>
      <c r="C8" s="81">
        <v>856792.51</v>
      </c>
      <c r="D8" s="84">
        <v>0</v>
      </c>
      <c r="E8" s="88">
        <v>305375.48</v>
      </c>
      <c r="F8" s="81">
        <v>0</v>
      </c>
      <c r="G8" s="92">
        <v>572850.78</v>
      </c>
      <c r="H8" s="86">
        <f>SUM(B8:G8)</f>
        <v>1874920.47</v>
      </c>
    </row>
    <row r="9" spans="1:10" ht="15.5">
      <c r="A9" s="79" t="s">
        <v>157</v>
      </c>
      <c r="B9" s="81">
        <v>182206.23</v>
      </c>
      <c r="C9" s="81">
        <v>83239.179999999993</v>
      </c>
      <c r="D9" s="84">
        <v>0</v>
      </c>
      <c r="E9" s="88">
        <v>4042</v>
      </c>
      <c r="F9" s="81">
        <v>0</v>
      </c>
      <c r="G9" s="92">
        <v>269488</v>
      </c>
      <c r="H9" s="86">
        <f t="shared" ref="H9:H15" si="0">SUM(B9:G9)</f>
        <v>538975.41</v>
      </c>
    </row>
    <row r="10" spans="1:10" ht="15.5">
      <c r="A10" s="79" t="s">
        <v>158</v>
      </c>
      <c r="B10" s="81">
        <v>1649640.72</v>
      </c>
      <c r="C10" s="81">
        <v>2573017.0699999998</v>
      </c>
      <c r="D10" s="84">
        <v>0</v>
      </c>
      <c r="E10" s="88">
        <v>337375.47</v>
      </c>
      <c r="F10" s="81">
        <v>50000</v>
      </c>
      <c r="G10" s="92">
        <v>3892829.09</v>
      </c>
      <c r="H10" s="86">
        <f t="shared" si="0"/>
        <v>8502862.3499999996</v>
      </c>
    </row>
    <row r="11" spans="1:10" ht="15.5">
      <c r="A11" s="79" t="s">
        <v>159</v>
      </c>
      <c r="B11" s="81">
        <v>500000</v>
      </c>
      <c r="C11" s="81">
        <v>643093</v>
      </c>
      <c r="D11" s="84">
        <v>0</v>
      </c>
      <c r="E11" s="88">
        <v>4042</v>
      </c>
      <c r="F11" s="81">
        <v>25000</v>
      </c>
      <c r="G11" s="92">
        <v>607006</v>
      </c>
      <c r="H11" s="86">
        <f t="shared" si="0"/>
        <v>1779141</v>
      </c>
    </row>
    <row r="12" spans="1:10" ht="17.5">
      <c r="A12" s="235" t="s">
        <v>160</v>
      </c>
      <c r="B12" s="81">
        <v>2488281.58</v>
      </c>
      <c r="C12" s="81">
        <v>2966438.6</v>
      </c>
      <c r="D12" s="84">
        <v>6402499.25</v>
      </c>
      <c r="E12" s="88">
        <v>4778539.34</v>
      </c>
      <c r="F12" s="81">
        <v>1060152</v>
      </c>
      <c r="G12" s="92">
        <v>7534411.3600000003</v>
      </c>
      <c r="H12" s="86">
        <f t="shared" si="0"/>
        <v>25230322.129999999</v>
      </c>
    </row>
    <row r="13" spans="1:10" ht="15.5">
      <c r="A13" s="79" t="s">
        <v>161</v>
      </c>
      <c r="B13" s="81">
        <v>3827597.62</v>
      </c>
      <c r="C13" s="81">
        <v>2475063.21</v>
      </c>
      <c r="D13" s="84">
        <v>0</v>
      </c>
      <c r="E13" s="88">
        <v>5617945.8700000001</v>
      </c>
      <c r="F13" s="81">
        <v>155000</v>
      </c>
      <c r="G13" s="92">
        <v>8118586.0199999996</v>
      </c>
      <c r="H13" s="86">
        <f t="shared" si="0"/>
        <v>20194192.719999999</v>
      </c>
    </row>
    <row r="14" spans="1:10" ht="15.5">
      <c r="A14" s="79" t="s">
        <v>162</v>
      </c>
      <c r="B14" s="81">
        <v>348379.88</v>
      </c>
      <c r="C14" s="81">
        <v>966577.67</v>
      </c>
      <c r="D14" s="84">
        <v>0</v>
      </c>
      <c r="E14" s="88">
        <v>529042.15</v>
      </c>
      <c r="F14" s="81">
        <v>20000</v>
      </c>
      <c r="G14" s="92">
        <v>788499.08</v>
      </c>
      <c r="H14" s="86">
        <f t="shared" si="0"/>
        <v>2652498.7800000003</v>
      </c>
    </row>
    <row r="15" spans="1:10" ht="16" thickBot="1">
      <c r="A15" s="77" t="s">
        <v>163</v>
      </c>
      <c r="B15" s="82">
        <f t="shared" ref="B15:G15" si="1">SUM(B8:B14)</f>
        <v>9136007.7300000023</v>
      </c>
      <c r="C15" s="82">
        <f t="shared" si="1"/>
        <v>10564221.24</v>
      </c>
      <c r="D15" s="85">
        <f t="shared" si="1"/>
        <v>6402499.25</v>
      </c>
      <c r="E15" s="89">
        <f t="shared" si="1"/>
        <v>11576362.310000001</v>
      </c>
      <c r="F15" s="90">
        <f t="shared" si="1"/>
        <v>1310152</v>
      </c>
      <c r="G15" s="93">
        <f t="shared" si="1"/>
        <v>21783670.329999998</v>
      </c>
      <c r="H15" s="86">
        <f t="shared" si="0"/>
        <v>60772912.859999999</v>
      </c>
      <c r="J15" s="153"/>
    </row>
    <row r="17" spans="1:8" ht="27" customHeight="1">
      <c r="A17" s="298" t="s">
        <v>164</v>
      </c>
      <c r="B17" s="297"/>
      <c r="C17" s="297"/>
      <c r="D17" s="297"/>
      <c r="E17" s="297"/>
      <c r="F17" s="297"/>
      <c r="G17" s="297"/>
      <c r="H17" s="297"/>
    </row>
    <row r="18" spans="1:8" ht="13.5">
      <c r="A18" s="298" t="s">
        <v>165</v>
      </c>
      <c r="B18" s="297"/>
      <c r="C18" s="297"/>
      <c r="D18" s="297"/>
      <c r="E18" s="297"/>
      <c r="F18" s="297"/>
      <c r="G18" s="297"/>
      <c r="H18" s="297"/>
    </row>
    <row r="19" spans="1:8" ht="13.5">
      <c r="A19" s="297" t="s">
        <v>166</v>
      </c>
      <c r="B19" s="297"/>
      <c r="C19" s="297"/>
      <c r="D19" s="297"/>
      <c r="E19" s="297"/>
      <c r="F19" s="297"/>
      <c r="G19" s="297"/>
      <c r="H19" s="297"/>
    </row>
    <row r="20" spans="1:8" ht="13.5">
      <c r="A20" s="297" t="s">
        <v>167</v>
      </c>
      <c r="B20" s="297"/>
      <c r="C20" s="297"/>
      <c r="D20" s="297"/>
      <c r="E20" s="297"/>
      <c r="F20" s="297"/>
      <c r="G20" s="297"/>
      <c r="H20" s="297"/>
    </row>
    <row r="21" spans="1:8" ht="29.5" customHeight="1">
      <c r="A21" s="298" t="s">
        <v>168</v>
      </c>
      <c r="B21" s="297"/>
      <c r="C21" s="297"/>
      <c r="D21" s="297"/>
      <c r="E21" s="297"/>
      <c r="F21" s="297"/>
      <c r="G21" s="297"/>
      <c r="H21" s="297"/>
    </row>
    <row r="22" spans="1:8" ht="30" customHeight="1">
      <c r="A22" s="298" t="s">
        <v>169</v>
      </c>
      <c r="B22" s="297"/>
      <c r="C22" s="297"/>
      <c r="D22" s="297"/>
      <c r="E22" s="297"/>
      <c r="F22" s="297"/>
      <c r="G22" s="297"/>
      <c r="H22" s="297"/>
    </row>
  </sheetData>
  <mergeCells count="13">
    <mergeCell ref="A3:G3"/>
    <mergeCell ref="A22:H22"/>
    <mergeCell ref="A19:H19"/>
    <mergeCell ref="A20:H20"/>
    <mergeCell ref="A21:H21"/>
    <mergeCell ref="E6:G6"/>
    <mergeCell ref="A17:H17"/>
    <mergeCell ref="A18:H18"/>
    <mergeCell ref="H6:H7"/>
    <mergeCell ref="D6:D7"/>
    <mergeCell ref="C6:C7"/>
    <mergeCell ref="B6:B7"/>
    <mergeCell ref="A6:A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2FC06-4F39-4DE0-9B15-D4FE0BBB8C52}">
  <dimension ref="A1:E25"/>
  <sheetViews>
    <sheetView topLeftCell="A15" workbookViewId="0">
      <selection activeCell="B6" sqref="B6"/>
    </sheetView>
  </sheetViews>
  <sheetFormatPr defaultRowHeight="15.5"/>
  <cols>
    <col min="1" max="1" width="56.08203125" customWidth="1"/>
    <col min="2" max="2" width="15.58203125" customWidth="1"/>
    <col min="3" max="3" width="17.83203125" customWidth="1"/>
    <col min="4" max="4" width="17.08203125" customWidth="1"/>
    <col min="5" max="5" width="15" customWidth="1"/>
  </cols>
  <sheetData>
    <row r="1" spans="1:5">
      <c r="A1" s="1" t="s">
        <v>170</v>
      </c>
    </row>
    <row r="2" spans="1:5">
      <c r="A2" t="s">
        <v>171</v>
      </c>
    </row>
    <row r="5" spans="1:5" ht="17.5">
      <c r="A5" s="250" t="s">
        <v>172</v>
      </c>
      <c r="B5" s="275">
        <f>Summary!L7</f>
        <v>242.57599999999999</v>
      </c>
      <c r="C5" s="282"/>
    </row>
    <row r="6" spans="1:5" ht="33">
      <c r="A6" s="2" t="s">
        <v>173</v>
      </c>
      <c r="B6" s="275">
        <f>'EPAGrantAllocations (FY16-22)'!BP13</f>
        <v>15000000</v>
      </c>
      <c r="C6" s="247"/>
    </row>
    <row r="7" spans="1:5" ht="33">
      <c r="A7" s="2" t="s">
        <v>174</v>
      </c>
      <c r="B7" s="275">
        <f>'Directed Funds (FY16-22)'!BM7</f>
        <v>13938710.220000003</v>
      </c>
      <c r="C7" s="283"/>
    </row>
    <row r="8" spans="1:5" ht="33">
      <c r="A8" s="2" t="s">
        <v>175</v>
      </c>
      <c r="B8" s="251" t="s">
        <v>35</v>
      </c>
      <c r="C8" s="283"/>
    </row>
    <row r="9" spans="1:5">
      <c r="A9" s="240" t="s">
        <v>176</v>
      </c>
      <c r="B9" s="248"/>
      <c r="C9" s="283"/>
    </row>
    <row r="10" spans="1:5">
      <c r="A10" s="240" t="s">
        <v>177</v>
      </c>
      <c r="B10" s="248"/>
      <c r="C10" s="283"/>
    </row>
    <row r="11" spans="1:5">
      <c r="A11" s="240" t="s">
        <v>178</v>
      </c>
      <c r="B11" s="248"/>
      <c r="C11" s="283"/>
    </row>
    <row r="12" spans="1:5">
      <c r="A12" s="240"/>
    </row>
    <row r="13" spans="1:5">
      <c r="A13" s="240"/>
    </row>
    <row r="14" spans="1:5" ht="31">
      <c r="A14" s="19" t="s">
        <v>179</v>
      </c>
    </row>
    <row r="15" spans="1:5" ht="17.5">
      <c r="B15" s="1" t="s">
        <v>180</v>
      </c>
      <c r="C15" s="1" t="s">
        <v>181</v>
      </c>
      <c r="D15" s="1" t="s">
        <v>182</v>
      </c>
      <c r="E15" s="1" t="s">
        <v>183</v>
      </c>
    </row>
    <row r="16" spans="1:5">
      <c r="A16" t="s">
        <v>92</v>
      </c>
      <c r="B16" s="18">
        <f>'EPAGrantAllocations (FY16-22)'!I10</f>
        <v>750000</v>
      </c>
      <c r="C16" s="196" t="str">
        <f>'Directed Funds (FY16-22)'!I6</f>
        <v>TBD</v>
      </c>
      <c r="D16" s="196">
        <f>'Directed Funds (FY16-22)'!I7</f>
        <v>0</v>
      </c>
      <c r="E16" s="196">
        <f>SUM('Directed Funds (FY16-22)'!I10,I20,I21)</f>
        <v>0</v>
      </c>
    </row>
    <row r="17" spans="1:5">
      <c r="A17" t="s">
        <v>93</v>
      </c>
      <c r="B17" s="18">
        <f>'EPAGrantAllocations (FY16-22)'!R10</f>
        <v>500000</v>
      </c>
      <c r="C17" s="196" t="str">
        <f>'Directed Funds (FY16-22)'!Q6</f>
        <v>TBD</v>
      </c>
      <c r="D17" s="18">
        <f>'Directed Funds (FY16-22)'!Q7</f>
        <v>264248.64</v>
      </c>
      <c r="E17" s="17">
        <f>SUM('Directed Funds (FY16-22)'!Q10,Q20,Q21)</f>
        <v>24657.83</v>
      </c>
    </row>
    <row r="18" spans="1:5">
      <c r="A18" t="s">
        <v>94</v>
      </c>
      <c r="B18" s="17">
        <f>'EPAGrantAllocations (FY16-22)'!AA10</f>
        <v>3212158</v>
      </c>
      <c r="C18" t="str">
        <f>'Directed Funds (FY16-22)'!Y6</f>
        <v>TBD</v>
      </c>
      <c r="D18" s="17">
        <f>'Directed Funds (FY16-22)'!Y7</f>
        <v>4152897.64</v>
      </c>
      <c r="E18" s="17">
        <f>SUM('Directed Funds (FY16-22)'!Y10,Y20,Y21)</f>
        <v>525633.32999999996</v>
      </c>
    </row>
    <row r="19" spans="1:5">
      <c r="A19" t="s">
        <v>96</v>
      </c>
      <c r="B19" s="17">
        <f>'EPAGrantAllocations (FY16-22)'!AI10</f>
        <v>1289758</v>
      </c>
      <c r="C19" t="str">
        <f>'Directed Funds (FY16-22)'!AG6</f>
        <v>TBD</v>
      </c>
      <c r="D19" s="17">
        <f>'Directed Funds (FY16-22)'!AG7</f>
        <v>194900</v>
      </c>
      <c r="E19" s="17">
        <f>SUM('Directed Funds (FY16-22)'!AG10,AG20,AG21)</f>
        <v>25000</v>
      </c>
    </row>
    <row r="20" spans="1:5">
      <c r="A20" t="s">
        <v>97</v>
      </c>
      <c r="B20" s="17">
        <f>'EPAGrantAllocations (FY16-22)'!AR10+'IIJA Funds Summary (2022)'!D12</f>
        <v>5598333</v>
      </c>
      <c r="C20" t="str">
        <f>'Directed Funds (FY16-22)'!AO6</f>
        <v>TBD</v>
      </c>
      <c r="D20" s="17">
        <f>'Directed Funds (FY16-22)'!AO7</f>
        <v>4785823.9800000004</v>
      </c>
      <c r="E20" s="17">
        <f>SUM('Directed Funds (FY16-22)'!AO10,AO20,AO21)</f>
        <v>1846365.7</v>
      </c>
    </row>
    <row r="21" spans="1:5">
      <c r="A21" t="s">
        <v>98</v>
      </c>
      <c r="B21" s="17">
        <f>'EPAGrantAllocations (FY16-22)'!AZ10</f>
        <v>3149751</v>
      </c>
      <c r="C21" t="str">
        <f>'Directed Funds (FY16-22)'!AW6</f>
        <v>TBD</v>
      </c>
      <c r="D21" s="17">
        <f>'Directed Funds (FY16-22)'!AW7</f>
        <v>4041694.06</v>
      </c>
      <c r="E21" s="17">
        <f>SUM('Directed Funds (FY16-22)'!AW10,AW20,AW21)</f>
        <v>564382.93999999994</v>
      </c>
    </row>
    <row r="22" spans="1:5">
      <c r="A22" t="s">
        <v>99</v>
      </c>
      <c r="B22" s="17">
        <f>'EPAGrantAllocations (FY16-22)'!BH10</f>
        <v>500000</v>
      </c>
      <c r="C22" t="str">
        <f>'Directed Funds (FY16-22)'!BE6</f>
        <v>TBD</v>
      </c>
      <c r="D22" s="17">
        <f>'Directed Funds (FY16-22)'!BE7</f>
        <v>499145.9</v>
      </c>
      <c r="E22" s="17">
        <f>SUM('Directed Funds (FY16-22)'!BE10,BE20,BE21)</f>
        <v>875729.05</v>
      </c>
    </row>
    <row r="23" spans="1:5">
      <c r="A23" s="240" t="s">
        <v>184</v>
      </c>
      <c r="B23" s="17"/>
      <c r="D23" s="17"/>
      <c r="E23" s="17"/>
    </row>
    <row r="24" spans="1:5">
      <c r="A24" s="240" t="s">
        <v>185</v>
      </c>
      <c r="B24" s="17"/>
      <c r="D24" s="17"/>
      <c r="E24" s="17"/>
    </row>
    <row r="25" spans="1:5" ht="26">
      <c r="A25" s="240" t="s">
        <v>186</v>
      </c>
      <c r="B25" s="17"/>
      <c r="D25" s="17"/>
      <c r="E25" s="17"/>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D0896-776E-3941-A069-134A8D6C04CD}">
  <dimension ref="A1:W37"/>
  <sheetViews>
    <sheetView zoomScale="106" zoomScaleNormal="106" workbookViewId="0">
      <selection activeCell="B25" sqref="B25"/>
    </sheetView>
  </sheetViews>
  <sheetFormatPr defaultColWidth="11" defaultRowHeight="15.5"/>
  <cols>
    <col min="1" max="1" width="62" customWidth="1"/>
    <col min="2" max="6" width="16.33203125" bestFit="1" customWidth="1"/>
    <col min="7" max="7" width="15.33203125" bestFit="1" customWidth="1"/>
    <col min="8" max="10" width="13.5" customWidth="1"/>
    <col min="12" max="12" width="30.5" bestFit="1" customWidth="1"/>
    <col min="13" max="15" width="9.5" bestFit="1" customWidth="1"/>
    <col min="16" max="16" width="9" customWidth="1"/>
    <col min="18" max="18" width="7.5" bestFit="1" customWidth="1"/>
    <col min="19" max="19" width="10.58203125" customWidth="1"/>
  </cols>
  <sheetData>
    <row r="1" spans="1:20">
      <c r="A1" s="1" t="s">
        <v>187</v>
      </c>
      <c r="B1" s="1"/>
    </row>
    <row r="2" spans="1:20">
      <c r="A2" s="1"/>
      <c r="B2" s="1"/>
      <c r="L2" s="60"/>
      <c r="M2" s="60"/>
      <c r="N2" s="60"/>
      <c r="O2" s="60"/>
      <c r="P2" s="60"/>
      <c r="Q2" s="60"/>
    </row>
    <row r="3" spans="1:20">
      <c r="A3" s="1"/>
      <c r="B3" s="1"/>
      <c r="L3" s="67" t="s">
        <v>53</v>
      </c>
      <c r="M3" s="57"/>
      <c r="N3" s="57"/>
      <c r="O3" s="57"/>
      <c r="P3" s="58"/>
      <c r="Q3" s="58"/>
    </row>
    <row r="4" spans="1:20">
      <c r="A4" s="1" t="s">
        <v>188</v>
      </c>
      <c r="B4" s="1">
        <v>2016</v>
      </c>
      <c r="C4" s="1">
        <v>2017</v>
      </c>
      <c r="D4" s="1">
        <v>2018</v>
      </c>
      <c r="E4" s="1">
        <v>2019</v>
      </c>
      <c r="F4" s="54">
        <v>2020</v>
      </c>
      <c r="G4" s="54">
        <v>2021</v>
      </c>
      <c r="H4" s="54">
        <v>2022</v>
      </c>
      <c r="I4" s="54" t="s">
        <v>189</v>
      </c>
      <c r="J4" s="54" t="s">
        <v>190</v>
      </c>
      <c r="L4" s="59" t="s">
        <v>191</v>
      </c>
      <c r="M4" s="59" t="s">
        <v>101</v>
      </c>
      <c r="N4" s="59" t="s">
        <v>102</v>
      </c>
      <c r="O4" s="59" t="s">
        <v>103</v>
      </c>
      <c r="P4" s="59" t="s">
        <v>104</v>
      </c>
      <c r="Q4" s="59" t="s">
        <v>105</v>
      </c>
      <c r="R4" s="59" t="s">
        <v>59</v>
      </c>
      <c r="S4" s="59" t="s">
        <v>60</v>
      </c>
      <c r="T4" s="1" t="s">
        <v>61</v>
      </c>
    </row>
    <row r="5" spans="1:20">
      <c r="A5" s="335" t="s">
        <v>192</v>
      </c>
      <c r="B5" s="188">
        <f>Summary!D7</f>
        <v>1440.13</v>
      </c>
      <c r="C5" s="188">
        <f>Summary!E7</f>
        <v>2510.42</v>
      </c>
      <c r="D5" s="189">
        <f>Summary!F7</f>
        <v>1546.8150000000001</v>
      </c>
      <c r="E5" s="189">
        <f>Summary!G7</f>
        <v>1572.1439999999998</v>
      </c>
      <c r="F5" s="189">
        <f>Summary!H7</f>
        <v>1656.4289999999999</v>
      </c>
      <c r="G5" s="188">
        <f>Summary!I7</f>
        <v>1617.9299999999998</v>
      </c>
      <c r="H5" s="188">
        <f>Summary!J7</f>
        <v>1581.9670000000001</v>
      </c>
      <c r="I5" s="188">
        <f>Summary!L7</f>
        <v>242.57599999999999</v>
      </c>
      <c r="J5" s="188">
        <f>Summary!K7</f>
        <v>1869.8979999999997</v>
      </c>
      <c r="L5" s="57" t="s">
        <v>33</v>
      </c>
      <c r="M5" s="62">
        <f>'Federal (FY14-22)'!O18</f>
        <v>3.0788967286722334E-2</v>
      </c>
      <c r="N5" s="62">
        <f>'Federal (FY14-22)'!P18</f>
        <v>-5.7125077784691843E-2</v>
      </c>
      <c r="O5" s="62">
        <f>'Federal (FY14-22)'!Q18</f>
        <v>6.9297782470959801E-3</v>
      </c>
      <c r="P5" s="62">
        <f>'Federal (FY14-22)'!R18</f>
        <v>0.14118109720128461</v>
      </c>
      <c r="Q5" s="62">
        <f>'Federal (FY14-22)'!S18</f>
        <v>-3.2490953994601175E-2</v>
      </c>
      <c r="R5" s="62">
        <f>'Federal (FY14-22)'!T18</f>
        <v>-4.0456388428819733E-2</v>
      </c>
      <c r="S5" s="62">
        <f>'Federal (FY14-22)'!U18</f>
        <v>-1.8250658879719862E-3</v>
      </c>
      <c r="T5" s="62">
        <f>'Federal (FY14-22)'!V18</f>
        <v>0.23650855630551076</v>
      </c>
    </row>
    <row r="6" spans="1:20">
      <c r="A6" s="335"/>
      <c r="B6" s="1"/>
      <c r="L6" s="57" t="s">
        <v>34</v>
      </c>
      <c r="M6" s="62">
        <f>'Federal (FY14-22)'!AC10</f>
        <v>1.2422360248447159E-2</v>
      </c>
      <c r="N6" s="62">
        <f>'Federal (FY14-22)'!AD10</f>
        <v>7.361963190184044E-2</v>
      </c>
      <c r="O6" s="62">
        <f>'Federal (FY14-22)'!AE10</f>
        <v>-8.5714285714285715E-2</v>
      </c>
      <c r="P6" s="62">
        <f>'Federal (FY14-22)'!AF10</f>
        <v>0.38749999999999996</v>
      </c>
      <c r="Q6" s="62">
        <f>'Federal (FY14-22)'!AG10</f>
        <v>0.11711711711711718</v>
      </c>
      <c r="R6" s="62">
        <f>'Federal (FY14-22)'!AH10</f>
        <v>-5.2419354838709561E-2</v>
      </c>
      <c r="S6" s="62">
        <f>'Federal (FY14-22)'!AI10</f>
        <v>-0.13191489361702133</v>
      </c>
      <c r="T6" s="62">
        <f>'Federal (FY14-22)'!AJ10</f>
        <v>2.4509803921568624E-2</v>
      </c>
    </row>
    <row r="7" spans="1:20">
      <c r="A7" s="1"/>
      <c r="B7" s="1"/>
      <c r="L7" s="57" t="s">
        <v>36</v>
      </c>
      <c r="M7" s="62">
        <f>'Federal (FY14-22)'!AP11</f>
        <v>0.23219814241486092</v>
      </c>
      <c r="N7" s="62">
        <f>'Federal (FY14-22)'!AQ11</f>
        <v>0.21859296482412047</v>
      </c>
      <c r="O7" s="62">
        <f>'Federal (FY14-22)'!AR11</f>
        <v>0.13917525773195877</v>
      </c>
      <c r="P7" s="62">
        <f>'Federal (FY14-22)'!AS11</f>
        <v>-0.15113122171945692</v>
      </c>
      <c r="Q7" s="62">
        <f>'Federal (FY14-22)'!AT11</f>
        <v>-0.13123667377398721</v>
      </c>
      <c r="R7" s="62">
        <f>'Federal (FY14-22)'!AU11</f>
        <v>-1.7057307645110008E-2</v>
      </c>
      <c r="S7" s="62">
        <f>'Federal (FY14-22)'!AV11</f>
        <v>0.41323345817727852</v>
      </c>
      <c r="T7" s="62">
        <f>'Federal (FY14-22)'!AW11</f>
        <v>-0.55167844522968201</v>
      </c>
    </row>
    <row r="8" spans="1:20">
      <c r="A8" s="1" t="s">
        <v>193</v>
      </c>
      <c r="B8" s="1">
        <v>2016</v>
      </c>
      <c r="C8" s="1">
        <v>2017</v>
      </c>
      <c r="D8" s="1">
        <v>2018</v>
      </c>
      <c r="E8" s="1">
        <v>2019</v>
      </c>
      <c r="F8" s="1">
        <v>2020</v>
      </c>
      <c r="G8" s="1">
        <v>2021</v>
      </c>
      <c r="H8" s="1">
        <v>2022</v>
      </c>
      <c r="I8" s="1" t="s">
        <v>189</v>
      </c>
      <c r="J8" s="54" t="s">
        <v>190</v>
      </c>
      <c r="L8" s="57" t="s">
        <v>194</v>
      </c>
      <c r="M8" s="62" t="str">
        <f>'Federal (FY14-22)'!BC14</f>
        <v>N/A</v>
      </c>
      <c r="N8" s="62" t="str">
        <f>'Federal (FY14-22)'!BD14</f>
        <v>N/A</v>
      </c>
      <c r="O8" s="62" t="str">
        <f>'Federal (FY14-22)'!BE14</f>
        <v>N/A</v>
      </c>
      <c r="P8" s="62" t="str">
        <f>'Federal (FY14-22)'!BF14</f>
        <v>N/A</v>
      </c>
      <c r="Q8" s="62" t="str">
        <f>'Federal (FY14-22)'!BG14</f>
        <v>N/A</v>
      </c>
      <c r="R8" s="62">
        <f>'Federal (FY14-22)'!BH14</f>
        <v>4.1375000000000002</v>
      </c>
      <c r="S8" s="62">
        <f>'Federal (FY14-22)'!BI14</f>
        <v>2.6763990267639762E-2</v>
      </c>
      <c r="T8" s="62">
        <f>'Federal (FY14-22)'!BJ14</f>
        <v>-0.76303317535545023</v>
      </c>
    </row>
    <row r="9" spans="1:20" ht="16" customHeight="1">
      <c r="A9" s="331" t="s">
        <v>195</v>
      </c>
      <c r="B9" s="326">
        <f>'Federal (FY14-22)'!D6+'Federal (FY14-22)'!Q6+'Federal (FY14-22)'!AE6+'Federal (FY14-22)'!AR6+'Federal (FY14-22)'!BR6</f>
        <v>491.83000000000004</v>
      </c>
      <c r="C9" s="326">
        <f>SUM('Federal (FY14-22)'!E6+'Federal (FY14-22)'!R6+'Federal (FY14-22)'!AF6+'Federal (FY14-22)'!AS6+'Federal (FY14-22)'!BF6+'Federal (FY14-22)'!BS6)</f>
        <v>497.02000000000004</v>
      </c>
      <c r="D9" s="326">
        <f>SUM('Federal (FY14-22)'!F6+'Federal (FY14-22)'!S6+'Federal (FY14-22)'!AG6+'Federal (FY14-22)'!AT6+'Federal (FY14-22)'!BG6+'Federal (FY14-22)'!BT6)</f>
        <v>531.79</v>
      </c>
      <c r="E9" s="326">
        <f>SUM('Federal (FY14-22)'!G6+'Federal (FY14-22)'!T6+'Federal (FY14-22)'!AH6+'Federal (FY14-22)'!AU6+'Federal (FY14-22)'!BH6+'Federal (FY14-22)'!BU6)</f>
        <v>505.41999999999996</v>
      </c>
      <c r="F9" s="326">
        <f>SUM('Federal (FY14-22)'!H6+'Federal (FY14-22)'!U6+'Federal (FY14-22)'!AI6+'Federal (FY14-22)'!AV6+'Federal (FY14-22)'!BI6+'Federal (FY14-22)'!BV6)</f>
        <v>540.03399999999988</v>
      </c>
      <c r="G9" s="326">
        <f>SUM('Federal (FY14-22)'!I6+'Federal (FY14-22)'!V6+'Federal (FY14-22)'!AJ6+'Federal (FY14-22)'!AW6+'Federal (FY14-22)'!BJ6+'Federal (FY14-22)'!BW6)</f>
        <v>537.54300000000001</v>
      </c>
      <c r="H9" s="326">
        <f>SUM('Federal (FY14-22)'!J6+'Federal (FY14-22)'!W6+'Federal (FY14-22)'!AK6+'Federal (FY14-22)'!AX6+'Federal (FY14-22)'!BK6+'Federal (FY14-22)'!BX6)</f>
        <v>536.10299999999995</v>
      </c>
      <c r="I9" s="326">
        <f>SUM('Federal (FY14-22)'!L6,'Federal (FY14-22)'!Y6,'Federal (FY14-22)'!AM6,'Federal (FY14-22)'!AZ6,'Federal (FY14-22)'!BM6,'Federal (FY14-22)'!BZ6)</f>
        <v>242.57599999999999</v>
      </c>
      <c r="J9" s="326">
        <f>SUM('Federal (FY14-22)'!K6,'Federal (FY14-22)'!X6,'Federal (FY14-22)'!AL6,'Federal (FY14-22)'!AY6,'Federal (FY14-22)'!BL6,'Federal (FY14-22)'!BY6)</f>
        <v>500.69799999999998</v>
      </c>
      <c r="L9" s="57" t="s">
        <v>39</v>
      </c>
      <c r="M9" s="62">
        <f>'Federal (FY14-22)'!BP14</f>
        <v>-4.8661800486618001E-2</v>
      </c>
      <c r="N9" s="62">
        <f>'Federal (FY14-22)'!BQ10</f>
        <v>0</v>
      </c>
      <c r="O9" s="62">
        <f>'Federal (FY14-22)'!BR14</f>
        <v>-2.5210084033613602E-2</v>
      </c>
      <c r="P9" s="62">
        <f>'Federal (FY14-22)'!BS14</f>
        <v>-0.37068965517241376</v>
      </c>
      <c r="Q9" s="62">
        <f>'Federal (FY14-22)'!BT14</f>
        <v>0.70091324200913252</v>
      </c>
      <c r="R9" s="62">
        <f>'Federal (FY14-22)'!BU14</f>
        <v>-3.2214765100671214E-2</v>
      </c>
      <c r="S9" s="62">
        <f>'Federal (FY14-22)'!BV14</f>
        <v>0.13592233009708735</v>
      </c>
      <c r="T9" s="62">
        <f>'Federal (FY14-22)'!BW14</f>
        <v>-0.11975579975579968</v>
      </c>
    </row>
    <row r="10" spans="1:20">
      <c r="A10" s="331"/>
      <c r="B10" s="327"/>
      <c r="C10" s="327"/>
      <c r="D10" s="327"/>
      <c r="E10" s="327"/>
      <c r="F10" s="327"/>
      <c r="G10" s="327"/>
      <c r="H10" s="327"/>
      <c r="I10" s="327"/>
      <c r="J10" s="327"/>
      <c r="L10" s="57" t="s">
        <v>32</v>
      </c>
      <c r="M10" s="62">
        <f>'Federal (FY14-22)'!B26</f>
        <v>5.5370210934136847E-2</v>
      </c>
      <c r="N10" s="62">
        <f>'Federal (FY14-22)'!C26</f>
        <v>-4.231887013715312E-3</v>
      </c>
      <c r="O10" s="62">
        <f>'Federal (FY14-22)'!D26</f>
        <v>0.11582181259600602</v>
      </c>
      <c r="P10" s="62">
        <f>'Federal (FY14-22)'!E26</f>
        <v>-0.11247246696035239</v>
      </c>
      <c r="Q10" s="62">
        <f>'Federal (FY14-22)'!F26</f>
        <v>0.17698671216586523</v>
      </c>
      <c r="R10" s="62">
        <f>'Federal (FY14-22)'!G26</f>
        <v>2.8812911558111352E-2</v>
      </c>
      <c r="S10" s="62">
        <f>'Federal (FY14-22)'!H26</f>
        <v>-0.15414175918018796</v>
      </c>
      <c r="T10" s="62">
        <f>'Federal (FY14-22)'!I26</f>
        <v>-2.5744573447753633E-2</v>
      </c>
    </row>
    <row r="11" spans="1:20">
      <c r="A11" s="331"/>
      <c r="B11" s="327"/>
      <c r="C11" s="327"/>
      <c r="D11" s="327"/>
      <c r="E11" s="327"/>
      <c r="F11" s="327"/>
      <c r="G11" s="327"/>
      <c r="H11" s="327"/>
      <c r="I11" s="327"/>
      <c r="J11" s="327"/>
      <c r="L11" s="56" t="s">
        <v>196</v>
      </c>
      <c r="M11" s="58">
        <f>(Summary!D5-Summary!C5)/Summary!C5</f>
        <v>6.103033179445131E-2</v>
      </c>
      <c r="N11" s="58">
        <f>(Summary!E5-Summary!D5)/Summary!D5</f>
        <v>1.0552426651485263E-2</v>
      </c>
      <c r="O11" s="58">
        <f>(Summary!F5-Summary!E5)/Summary!E5</f>
        <v>6.9956943382559908E-2</v>
      </c>
      <c r="P11" s="58">
        <f>(Summary!G5-Summary!F5)/Summary!F5</f>
        <v>-4.9587243084676297E-2</v>
      </c>
      <c r="Q11" s="58">
        <f>(Summary!H5-Summary!G5)/Summary!G5</f>
        <v>6.8485615923390294E-2</v>
      </c>
      <c r="R11" s="185">
        <f>(Summary!I5-Summary!H5)/Summary!H5</f>
        <v>-4.6126725354327181E-3</v>
      </c>
      <c r="S11" s="185">
        <f>(Summary!J5-Summary!I5)/Summary!I5</f>
        <v>-2.6788554590052418E-3</v>
      </c>
      <c r="T11" s="185">
        <f>(Summary!K5-Summary!J5)/Summary!J5</f>
        <v>-6.604141368356449E-2</v>
      </c>
    </row>
    <row r="12" spans="1:20">
      <c r="A12" s="331"/>
      <c r="B12" s="327"/>
      <c r="C12" s="327"/>
      <c r="D12" s="327"/>
      <c r="E12" s="327"/>
      <c r="F12" s="327"/>
      <c r="G12" s="327"/>
      <c r="H12" s="327"/>
      <c r="I12" s="327"/>
      <c r="J12" s="327"/>
      <c r="L12" s="61"/>
      <c r="M12" s="62"/>
      <c r="N12" s="62"/>
      <c r="O12" s="62"/>
      <c r="P12" s="62"/>
      <c r="Q12" s="62"/>
    </row>
    <row r="13" spans="1:20">
      <c r="A13" s="331"/>
      <c r="B13" s="327"/>
      <c r="C13" s="327"/>
      <c r="D13" s="327"/>
      <c r="E13" s="327"/>
      <c r="F13" s="327"/>
      <c r="G13" s="327"/>
      <c r="H13" s="327"/>
      <c r="I13" s="327"/>
      <c r="J13" s="327"/>
      <c r="L13" s="67" t="s">
        <v>53</v>
      </c>
    </row>
    <row r="14" spans="1:20">
      <c r="A14" s="331"/>
      <c r="B14" s="327"/>
      <c r="C14" s="327"/>
      <c r="D14" s="327"/>
      <c r="E14" s="327"/>
      <c r="F14" s="327"/>
      <c r="G14" s="327"/>
      <c r="H14" s="327"/>
      <c r="I14" s="327"/>
      <c r="J14" s="327"/>
      <c r="L14" s="59" t="s">
        <v>100</v>
      </c>
      <c r="M14" s="59" t="s">
        <v>101</v>
      </c>
      <c r="N14" s="59" t="s">
        <v>102</v>
      </c>
      <c r="O14" s="59" t="s">
        <v>103</v>
      </c>
      <c r="P14" s="59" t="s">
        <v>104</v>
      </c>
      <c r="Q14" s="59" t="s">
        <v>105</v>
      </c>
      <c r="R14" s="59" t="s">
        <v>59</v>
      </c>
      <c r="S14" s="59" t="s">
        <v>60</v>
      </c>
      <c r="T14" s="1" t="s">
        <v>61</v>
      </c>
    </row>
    <row r="15" spans="1:20" ht="17.25" customHeight="1">
      <c r="A15" s="53"/>
      <c r="B15" s="1"/>
      <c r="L15" s="55" t="s">
        <v>92</v>
      </c>
      <c r="M15" s="58">
        <f>'State (FY14-22)'!B16</f>
        <v>0</v>
      </c>
      <c r="N15" s="58">
        <f>'State (FY14-22)'!C16</f>
        <v>0</v>
      </c>
      <c r="O15" s="58">
        <f>'State (FY14-22)'!D16</f>
        <v>0</v>
      </c>
      <c r="P15" s="58">
        <f>'State (FY14-22)'!E16</f>
        <v>-6.2500000000000056E-2</v>
      </c>
      <c r="Q15" s="58">
        <f>'State (FY14-22)'!F16</f>
        <v>3.8666666666666667</v>
      </c>
      <c r="R15" s="58">
        <f>'State (FY14-22)'!G16</f>
        <v>-0.36986301369863017</v>
      </c>
      <c r="S15" s="58">
        <f>'State (FY14-22)'!H16</f>
        <v>0.78260869565217395</v>
      </c>
      <c r="T15" s="58">
        <f>'State (FY14-22)'!I16</f>
        <v>0.48780487804878053</v>
      </c>
    </row>
    <row r="16" spans="1:20">
      <c r="A16" s="1" t="s">
        <v>197</v>
      </c>
      <c r="B16" s="1">
        <v>2016</v>
      </c>
      <c r="C16" s="1">
        <v>2017</v>
      </c>
      <c r="D16" s="1">
        <v>2018</v>
      </c>
      <c r="E16" s="1">
        <v>2019</v>
      </c>
      <c r="F16" s="1">
        <v>2020</v>
      </c>
      <c r="G16" s="1">
        <v>2021</v>
      </c>
      <c r="H16" s="1">
        <v>2022</v>
      </c>
      <c r="I16" s="54" t="s">
        <v>190</v>
      </c>
      <c r="J16" s="54"/>
      <c r="L16" s="55" t="s">
        <v>93</v>
      </c>
      <c r="M16" s="58">
        <f>'State (FY14-22)'!B17</f>
        <v>2.0555555555555558</v>
      </c>
      <c r="N16" s="58">
        <f>'State (FY14-22)'!C17</f>
        <v>0.20082644628099183</v>
      </c>
      <c r="O16" s="58">
        <f>'State (FY14-22)'!D17</f>
        <v>-6.6070199587061409E-2</v>
      </c>
      <c r="P16" s="58">
        <f>'State (FY14-22)'!E17</f>
        <v>8.7693441414885831E-2</v>
      </c>
      <c r="Q16" s="58">
        <f>'State (FY14-22)'!F17</f>
        <v>-0.14905149051490515</v>
      </c>
      <c r="R16" s="58">
        <f>'State (FY14-22)'!G17</f>
        <v>0.12500000000000014</v>
      </c>
      <c r="S16" s="58">
        <f>'State (FY14-22)'!H17</f>
        <v>-0.59589525831564061</v>
      </c>
      <c r="T16" s="58">
        <f>'State (FY14-22)'!I17</f>
        <v>0.34150612959719778</v>
      </c>
    </row>
    <row r="17" spans="1:23" ht="16" customHeight="1">
      <c r="A17" s="331" t="s">
        <v>198</v>
      </c>
      <c r="B17" s="336">
        <f>'State (FY14-22)'!D12</f>
        <v>948.30000000000007</v>
      </c>
      <c r="C17" s="328">
        <f>'State (FY14-22)'!E12</f>
        <v>2013.4</v>
      </c>
      <c r="D17" s="328">
        <f>'State (FY14-22)'!F12</f>
        <v>1015.025</v>
      </c>
      <c r="E17" s="328">
        <f>'State (FY14-22)'!G12</f>
        <v>1066.7239999999999</v>
      </c>
      <c r="F17" s="328">
        <f>'State (FY14-22)'!H12</f>
        <v>1116.395</v>
      </c>
      <c r="G17" s="328">
        <f>'State (FY14-22)'!I12</f>
        <v>1080.3869999999999</v>
      </c>
      <c r="H17" s="328">
        <f>'State (FY14-22)'!J12</f>
        <v>1045.864</v>
      </c>
      <c r="I17" s="328">
        <f>'State (FY14-22)'!K12</f>
        <v>1369.1999999999998</v>
      </c>
      <c r="J17" s="328"/>
      <c r="L17" s="55" t="s">
        <v>94</v>
      </c>
      <c r="M17" s="58">
        <f>'State (FY14-22)'!B18</f>
        <v>-0.50722974523754882</v>
      </c>
      <c r="N17" s="58">
        <f>'State (FY14-22)'!C18</f>
        <v>2.383325570563577</v>
      </c>
      <c r="O17" s="58">
        <f>'State (FY14-22)'!D18</f>
        <v>-0.68006607929515417</v>
      </c>
      <c r="P17" s="58">
        <f>'State (FY14-22)'!E18</f>
        <v>0.24999999999999997</v>
      </c>
      <c r="Q17" s="58">
        <f>'State (FY14-22)'!F18</f>
        <v>-3.2702237521514237E-3</v>
      </c>
      <c r="R17" s="58">
        <f>'State (FY14-22)'!G18</f>
        <v>-0.10930754619236759</v>
      </c>
      <c r="S17" s="58">
        <f>'State (FY14-22)'!H18</f>
        <v>-5.0089181853431482E-2</v>
      </c>
      <c r="T17" s="58">
        <f>'State (FY14-22)'!I18</f>
        <v>4.7832085622617128E-2</v>
      </c>
    </row>
    <row r="18" spans="1:23">
      <c r="A18" s="331"/>
      <c r="B18" s="336"/>
      <c r="C18" s="328"/>
      <c r="D18" s="328"/>
      <c r="E18" s="328"/>
      <c r="F18" s="328"/>
      <c r="G18" s="328"/>
      <c r="H18" s="328"/>
      <c r="I18" s="328"/>
      <c r="J18" s="328"/>
      <c r="L18" s="55" t="s">
        <v>96</v>
      </c>
      <c r="M18" s="58">
        <f>'State (FY14-22)'!B19</f>
        <v>0.26865671641791039</v>
      </c>
      <c r="N18" s="58">
        <f>'State (FY14-22)'!C19</f>
        <v>0.68235294117647072</v>
      </c>
      <c r="O18" s="58">
        <f>'State (FY14-22)'!D19</f>
        <v>-0.57342657342657344</v>
      </c>
      <c r="P18" s="58">
        <f>'State (FY14-22)'!E19</f>
        <v>0.5919672131147542</v>
      </c>
      <c r="Q18" s="58">
        <f>'State (FY14-22)'!F19</f>
        <v>-0.34095355782102771</v>
      </c>
      <c r="R18" s="58">
        <f>'State (FY14-22)'!G19</f>
        <v>3.375</v>
      </c>
      <c r="S18" s="58">
        <f>'State (FY14-22)'!H19</f>
        <v>-0.59285714285714286</v>
      </c>
      <c r="T18" s="58">
        <f>'State (FY14-22)'!I19</f>
        <v>0</v>
      </c>
    </row>
    <row r="19" spans="1:23">
      <c r="A19" s="331"/>
      <c r="B19" s="336"/>
      <c r="C19" s="328"/>
      <c r="D19" s="328"/>
      <c r="E19" s="328"/>
      <c r="F19" s="328"/>
      <c r="G19" s="328"/>
      <c r="H19" s="328"/>
      <c r="I19" s="328"/>
      <c r="J19" s="328"/>
      <c r="L19" s="55" t="s">
        <v>97</v>
      </c>
      <c r="M19" s="58">
        <f>'State (FY14-22)'!B20</f>
        <v>-0.37341040462427744</v>
      </c>
      <c r="N19" s="58">
        <f>'State (FY14-22)'!C20</f>
        <v>1.2047970479704795</v>
      </c>
      <c r="O19" s="58">
        <f>'State (FY14-22)'!D20</f>
        <v>0.51789121338912136</v>
      </c>
      <c r="P19" s="58">
        <f>'State (FY14-22)'!E20</f>
        <v>-0.2105321189935388</v>
      </c>
      <c r="Q19" s="58">
        <f>'State (FY14-22)'!F20</f>
        <v>0.18854748603351956</v>
      </c>
      <c r="R19" s="58">
        <f>'State (FY14-22)'!G20</f>
        <v>-0.11280846063454752</v>
      </c>
      <c r="S19" s="58">
        <f>'State (FY14-22)'!H20</f>
        <v>9.602649006622517E-2</v>
      </c>
      <c r="T19" s="58">
        <f>'State (FY14-22)'!I20</f>
        <v>8.5800604229607183E-2</v>
      </c>
    </row>
    <row r="20" spans="1:23">
      <c r="A20" s="331"/>
      <c r="B20" s="336"/>
      <c r="C20" s="328"/>
      <c r="D20" s="328"/>
      <c r="E20" s="328"/>
      <c r="F20" s="328"/>
      <c r="G20" s="328"/>
      <c r="H20" s="328"/>
      <c r="I20" s="328"/>
      <c r="J20" s="328"/>
      <c r="L20" s="55" t="s">
        <v>98</v>
      </c>
      <c r="M20" s="58">
        <f>'State (FY14-22)'!B21</f>
        <v>9.7701149425287459E-2</v>
      </c>
      <c r="N20" s="58">
        <f>'State (FY14-22)'!C21</f>
        <v>-1.3290374546919094E-2</v>
      </c>
      <c r="O20" s="58">
        <f>'State (FY14-22)'!D21</f>
        <v>-0.10807755102040822</v>
      </c>
      <c r="P20" s="58">
        <f>'State (FY14-22)'!E21</f>
        <v>-0.16770012950700386</v>
      </c>
      <c r="Q20" s="58">
        <f>'State (FY14-22)'!F21</f>
        <v>0.25745704467353947</v>
      </c>
      <c r="R20" s="58">
        <f>'State (FY14-22)'!G21</f>
        <v>-3.7603847835592459E-2</v>
      </c>
      <c r="S20" s="58">
        <f>'State (FY14-22)'!H21</f>
        <v>0.41026805997273957</v>
      </c>
      <c r="T20" s="58">
        <f>'State (FY14-22)'!I21</f>
        <v>0.85341494845360821</v>
      </c>
    </row>
    <row r="21" spans="1:23">
      <c r="A21" s="1"/>
      <c r="B21" s="1"/>
      <c r="E21" s="52"/>
      <c r="L21" s="55" t="s">
        <v>99</v>
      </c>
      <c r="M21" s="58">
        <f>'State (FY14-22)'!B22</f>
        <v>1.0354609929078014</v>
      </c>
      <c r="N21" s="58">
        <f>'State (FY14-22)'!C22</f>
        <v>-0.58536585365853655</v>
      </c>
      <c r="O21" s="58">
        <f>'State (FY14-22)'!D22</f>
        <v>-0.78386554621848736</v>
      </c>
      <c r="P21" s="58">
        <f>'State (FY14-22)'!E22</f>
        <v>-0.66459305339554176</v>
      </c>
      <c r="Q21" s="58">
        <f>'State (FY14-22)'!F22</f>
        <v>6.0664605873261217E-2</v>
      </c>
      <c r="R21" s="58">
        <f>'State (FY14-22)'!G22</f>
        <v>6.9734061930783238</v>
      </c>
      <c r="S21" s="58">
        <f>'State (FY14-22)'!H22</f>
        <v>-0.66189975784712385</v>
      </c>
      <c r="T21" s="58">
        <f>'State (FY14-22)'!I22</f>
        <v>-9.4594594594594614E-2</v>
      </c>
    </row>
    <row r="22" spans="1:23">
      <c r="A22" s="1" t="s">
        <v>199</v>
      </c>
      <c r="B22" s="1">
        <v>2016</v>
      </c>
      <c r="C22" s="1">
        <v>2017</v>
      </c>
      <c r="D22" s="1">
        <v>2018</v>
      </c>
      <c r="E22" s="1">
        <v>2019</v>
      </c>
      <c r="F22" s="1">
        <v>2020</v>
      </c>
      <c r="G22" s="1">
        <v>2021</v>
      </c>
      <c r="H22" s="1">
        <v>2022</v>
      </c>
      <c r="I22" s="1"/>
      <c r="J22" s="54"/>
      <c r="L22" s="56" t="s">
        <v>106</v>
      </c>
      <c r="M22" s="58">
        <f>(Summary!D6-Summary!C6)/Summary!C6</f>
        <v>-0.25535924617196698</v>
      </c>
      <c r="N22" s="58">
        <f>(Summary!E6-Summary!D6)/Summary!D6</f>
        <v>1.1231677739112094</v>
      </c>
      <c r="O22" s="58">
        <f>(Summary!F6-Summary!E6)/Summary!E6</f>
        <v>-0.49586520313896892</v>
      </c>
      <c r="P22" s="58">
        <f>(Summary!G6-Summary!F6)/Summary!F6</f>
        <v>5.0933720844314134E-2</v>
      </c>
      <c r="Q22" s="58">
        <f>(Summary!H6-Summary!G6)/Summary!G6</f>
        <v>4.6564059681792155E-2</v>
      </c>
      <c r="R22" s="58">
        <f>(Summary!I6-Summary!H6)/Summary!H6</f>
        <v>-3.2253816973383115E-2</v>
      </c>
      <c r="S22" s="58">
        <f>(Summary!J6-Summary!I6)/Summary!I6</f>
        <v>-3.1954290453328218E-2</v>
      </c>
      <c r="T22" s="58">
        <f>(Summary!K6-Summary!J6)/Summary!J6</f>
        <v>0.30915683109849823</v>
      </c>
    </row>
    <row r="23" spans="1:23">
      <c r="A23" s="332" t="s">
        <v>200</v>
      </c>
      <c r="B23" s="329">
        <f>'EPAGrantAllocations (FY16-22)'!BI13</f>
        <v>34728701</v>
      </c>
      <c r="C23" s="329">
        <f>'EPAGrantAllocations (FY16-22)'!BJ13</f>
        <v>34735762</v>
      </c>
      <c r="D23" s="329">
        <f>'EPAGrantAllocations (FY16-22)'!BK13</f>
        <v>30465856</v>
      </c>
      <c r="E23" s="329">
        <f>'EPAGrantAllocations (FY16-22)'!BL13</f>
        <v>33284266</v>
      </c>
      <c r="F23" s="329">
        <f>'EPAGrantAllocations (FY16-22)'!BM13</f>
        <v>39345025</v>
      </c>
      <c r="G23" s="329">
        <f>'EPAGrantAllocations (FY16-22)'!BN13</f>
        <v>35828689</v>
      </c>
      <c r="H23" s="329">
        <f>'EPAGrantAllocations (FY16-22)'!BO13</f>
        <v>35360132</v>
      </c>
      <c r="I23" s="329"/>
      <c r="J23" s="329"/>
      <c r="S23" s="66"/>
      <c r="T23" s="66"/>
      <c r="U23" s="66"/>
      <c r="V23" s="66"/>
      <c r="W23" s="66"/>
    </row>
    <row r="24" spans="1:23" ht="30.75" customHeight="1">
      <c r="A24" s="332"/>
      <c r="B24" s="329"/>
      <c r="C24" s="329"/>
      <c r="D24" s="329"/>
      <c r="E24" s="329"/>
      <c r="F24" s="329"/>
      <c r="G24" s="329"/>
      <c r="H24" s="329"/>
      <c r="I24" s="329"/>
      <c r="J24" s="329"/>
      <c r="S24" s="66"/>
      <c r="T24" s="66"/>
      <c r="U24" s="66"/>
      <c r="V24" s="66"/>
      <c r="W24" s="66"/>
    </row>
    <row r="25" spans="1:23" ht="29">
      <c r="A25" s="284" t="s">
        <v>201</v>
      </c>
      <c r="B25" s="150">
        <f>'EPAGrantAllocations (FY16-22)'!BI14</f>
        <v>34728701</v>
      </c>
      <c r="C25" s="150">
        <f>'EPAGrantAllocations (FY16-22)'!BJ14</f>
        <v>34735762</v>
      </c>
      <c r="D25" s="150">
        <f>'EPAGrantAllocations (FY16-22)'!BK14</f>
        <v>30465856</v>
      </c>
      <c r="E25" s="150">
        <f>'EPAGrantAllocations (FY16-22)'!BL14</f>
        <v>33284266</v>
      </c>
      <c r="F25" s="150">
        <f>'EPAGrantAllocations (FY16-22)'!BM14</f>
        <v>39345025</v>
      </c>
      <c r="G25" s="150">
        <f>'EPAGrantAllocations (FY16-22)'!BN14</f>
        <v>35828689</v>
      </c>
      <c r="H25" s="150">
        <f>'EPAGrantAllocations (FY16-22)'!BO14</f>
        <v>35360132</v>
      </c>
      <c r="I25" s="190"/>
      <c r="J25" s="150"/>
      <c r="S25" s="66"/>
      <c r="T25" s="66"/>
      <c r="U25" s="66"/>
      <c r="V25" s="66"/>
      <c r="W25" s="66"/>
    </row>
    <row r="26" spans="1:23" ht="16" customHeight="1">
      <c r="A26" s="332" t="s">
        <v>202</v>
      </c>
      <c r="B26" s="333">
        <f>SUM('Directed Funds (FY16-22)'!BF6+'Directed Funds (FY16-22)'!BF7) + 'Directed Funds (FY16-22)'!AH8</f>
        <v>9547183</v>
      </c>
      <c r="C26" s="333">
        <f>SUM('Directed Funds (FY16-22)'!BG6+'Directed Funds (FY16-22)'!BG7) + 'Directed Funds (FY16-22)'!AI8</f>
        <v>10393861</v>
      </c>
      <c r="D26" s="333">
        <f>SUM('Directed Funds (FY16-22)'!BH6+'Directed Funds (FY16-22)'!BH7) + 'Directed Funds (FY16-22)'!AJ8</f>
        <v>10882019</v>
      </c>
      <c r="E26" s="333">
        <f>SUM('Directed Funds (FY16-22)'!BI6+'Directed Funds (FY16-22)'!BI7) + 'Directed Funds (FY16-22)'!AK8</f>
        <v>12170167.336666666</v>
      </c>
      <c r="F26" s="333">
        <f>SUM('Directed Funds (FY16-22)'!BJ6+'Directed Funds (FY16-22)'!BJ7) + 'Directed Funds (FY16-22)'!AL8</f>
        <v>17351689.140000001</v>
      </c>
      <c r="G26" s="333">
        <f>SUM('Directed Funds (FY16-22)'!BK6+'Directed Funds (FY16-22)'!BK7) + 'Directed Funds (FY16-22)'!AM8</f>
        <v>21097465.440000001</v>
      </c>
      <c r="H26" s="333">
        <f>SUM('Directed Funds (FY16-22)'!BL6+'Directed Funds (FY16-22)'!BL7) + 'Directed Funds (FY16-22)'!AP8</f>
        <v>19700228.970000003</v>
      </c>
      <c r="I26" s="330"/>
      <c r="J26" s="333"/>
      <c r="S26" s="66"/>
      <c r="T26" s="66"/>
      <c r="U26" s="66"/>
      <c r="V26" s="66"/>
      <c r="W26" s="66"/>
    </row>
    <row r="27" spans="1:23" ht="48.75" customHeight="1">
      <c r="A27" s="332"/>
      <c r="B27" s="333"/>
      <c r="C27" s="333"/>
      <c r="D27" s="333"/>
      <c r="E27" s="333"/>
      <c r="F27" s="333"/>
      <c r="G27" s="333"/>
      <c r="H27" s="333"/>
      <c r="I27" s="330"/>
      <c r="J27" s="333"/>
      <c r="L27" s="68"/>
      <c r="S27" s="66"/>
      <c r="T27" s="66"/>
      <c r="U27" s="66"/>
      <c r="V27" s="66"/>
      <c r="W27" s="66"/>
    </row>
    <row r="28" spans="1:23" ht="16" customHeight="1">
      <c r="A28" s="334" t="s">
        <v>203</v>
      </c>
      <c r="B28" s="328">
        <f>SUM('Directed Funds (FY16-22)'!BF10+'Directed Funds (FY16-22)'!BF11)</f>
        <v>1350563</v>
      </c>
      <c r="C28" s="328">
        <f>SUM('Directed Funds (FY16-22)'!BG10+'Directed Funds (FY16-22)'!BG11)</f>
        <v>2242999</v>
      </c>
      <c r="D28" s="328">
        <f>SUM('Directed Funds (FY16-22)'!BH10+'Directed Funds (FY16-22)'!BH11)</f>
        <v>2155274</v>
      </c>
      <c r="E28" s="328">
        <f>SUM('Directed Funds (FY16-22)'!BI10+'Directed Funds (FY16-22)'!BI11)</f>
        <v>3004094.14</v>
      </c>
      <c r="F28" s="328">
        <f>SUM('Directed Funds (FY16-22)'!BJ10+'Directed Funds (FY16-22)'!BJ11)</f>
        <v>1970672</v>
      </c>
      <c r="G28" s="328">
        <f>SUM('Directed Funds (FY16-22)'!BK10+'Directed Funds (FY16-22)'!BK11)</f>
        <v>2650192</v>
      </c>
      <c r="H28" s="328">
        <f>SUM('Directed Funds (FY16-22)'!BL10+'Directed Funds (FY16-22)'!BL11)</f>
        <v>12886514.590000002</v>
      </c>
      <c r="I28" s="328"/>
      <c r="J28" s="328"/>
      <c r="S28" s="66"/>
      <c r="T28" s="66"/>
      <c r="U28" s="66"/>
      <c r="V28" s="66"/>
      <c r="W28" s="66"/>
    </row>
    <row r="29" spans="1:23">
      <c r="A29" s="334"/>
      <c r="B29" s="328"/>
      <c r="C29" s="328"/>
      <c r="D29" s="328"/>
      <c r="E29" s="328"/>
      <c r="F29" s="328"/>
      <c r="G29" s="328"/>
      <c r="H29" s="328"/>
      <c r="I29" s="328"/>
      <c r="J29" s="328"/>
      <c r="S29" s="66"/>
      <c r="T29" s="66"/>
      <c r="U29" s="66"/>
      <c r="V29" s="66"/>
      <c r="W29" s="66"/>
    </row>
    <row r="30" spans="1:23" ht="35.25" customHeight="1">
      <c r="A30" s="334"/>
      <c r="B30" s="328"/>
      <c r="C30" s="328"/>
      <c r="D30" s="328"/>
      <c r="E30" s="328"/>
      <c r="F30" s="328"/>
      <c r="G30" s="328"/>
      <c r="H30" s="328"/>
      <c r="I30" s="328"/>
      <c r="J30" s="328"/>
      <c r="S30" s="66"/>
      <c r="T30" s="66"/>
      <c r="U30" s="66"/>
      <c r="V30" s="66"/>
      <c r="W30" s="66"/>
    </row>
    <row r="31" spans="1:23" ht="72.5">
      <c r="A31" s="285" t="s">
        <v>204</v>
      </c>
      <c r="B31" s="52">
        <f>'Directed Funds (FY16-22)'!BF12</f>
        <v>12181724</v>
      </c>
      <c r="C31" s="52">
        <f>'Directed Funds (FY16-22)'!BG12</f>
        <v>17714454</v>
      </c>
      <c r="D31" s="52">
        <f>'Directed Funds (FY16-22)'!BH12</f>
        <v>24070771</v>
      </c>
      <c r="E31" s="52">
        <f>'Directed Funds (FY16-22)'!BI12</f>
        <v>22867743.969999999</v>
      </c>
      <c r="F31" s="52">
        <f>'Directed Funds (FY16-22)'!BJ12</f>
        <v>21384741.690000001</v>
      </c>
      <c r="G31" s="52">
        <f>'Directed Funds (FY16-22)'!BK12</f>
        <v>33086522.003724802</v>
      </c>
      <c r="H31" s="52">
        <f>'Directed Funds (FY16-22)'!BL12</f>
        <v>21783670.309999999</v>
      </c>
      <c r="I31" s="187"/>
      <c r="J31" s="52"/>
      <c r="S31" s="66"/>
      <c r="T31" s="66"/>
      <c r="U31" s="66"/>
      <c r="V31" s="66"/>
      <c r="W31" s="66"/>
    </row>
    <row r="32" spans="1:23" ht="87">
      <c r="A32" s="286" t="s">
        <v>205</v>
      </c>
      <c r="B32" s="52">
        <f>'EPAGrantAllocations (FY16-22)'!BI14+'Directed Funds (FY16-22)'!BF10+'Directed Funds (FY16-22)'!BF11+'Directed Funds (FY16-22)'!BF12</f>
        <v>48260988</v>
      </c>
      <c r="C32" s="52">
        <f>'EPAGrantAllocations (FY16-22)'!BJ14+'Directed Funds (FY16-22)'!BG10+'Directed Funds (FY16-22)'!BG11+'Directed Funds (FY16-22)'!BG12</f>
        <v>54693215</v>
      </c>
      <c r="D32" s="52">
        <f>'EPAGrantAllocations (FY16-22)'!BK14+'Directed Funds (FY16-22)'!BH10+'Directed Funds (FY16-22)'!BH11+'Directed Funds (FY16-22)'!BH12</f>
        <v>56691901</v>
      </c>
      <c r="E32" s="52">
        <f>'EPAGrantAllocations (FY16-22)'!BL14+'Directed Funds (FY16-22)'!BI10+'Directed Funds (FY16-22)'!BI11+'Directed Funds (FY16-22)'!BI12</f>
        <v>59156104.109999999</v>
      </c>
      <c r="F32" s="52">
        <f>'EPAGrantAllocations (FY16-22)'!BM14+'Directed Funds (FY16-22)'!BJ10+'Directed Funds (FY16-22)'!BJ11+'Directed Funds (FY16-22)'!BJ12</f>
        <v>62700438.689999998</v>
      </c>
      <c r="G32" s="52">
        <f>'EPAGrantAllocations (FY16-22)'!BN14+'Directed Funds (FY16-22)'!BK10+'Directed Funds (FY16-22)'!BK11+'Directed Funds (FY16-22)'!BK12</f>
        <v>71565403.003724799</v>
      </c>
      <c r="H32" s="52">
        <f>'EPAGrantAllocations (FY16-22)'!BO14+'Directed Funds (FY16-22)'!BL10+'Directed Funds (FY16-22)'!BL11+'Directed Funds (FY16-22)'!BL12</f>
        <v>70030316.900000006</v>
      </c>
      <c r="I32" s="52"/>
      <c r="J32" s="52"/>
      <c r="S32" s="66"/>
      <c r="T32" s="66"/>
      <c r="U32" s="66"/>
      <c r="V32" s="66"/>
      <c r="W32" s="66"/>
    </row>
    <row r="33" spans="1:7">
      <c r="B33" s="17"/>
      <c r="C33" s="17"/>
      <c r="D33" s="17"/>
      <c r="E33" s="17"/>
      <c r="F33" s="17"/>
      <c r="G33" s="17"/>
    </row>
    <row r="34" spans="1:7">
      <c r="A34" s="1" t="s">
        <v>206</v>
      </c>
      <c r="B34" s="1">
        <v>2022</v>
      </c>
      <c r="C34" s="1">
        <v>2023</v>
      </c>
    </row>
    <row r="35" spans="1:7">
      <c r="A35" s="194" t="s">
        <v>207</v>
      </c>
      <c r="B35" s="282">
        <f>Summary!L7</f>
        <v>242.57599999999999</v>
      </c>
    </row>
    <row r="36" spans="1:7">
      <c r="A36" t="s">
        <v>208</v>
      </c>
      <c r="B36" s="195">
        <f>'EPAGrantAllocations (FY16-22)'!BP13</f>
        <v>15000000</v>
      </c>
    </row>
    <row r="37" spans="1:7" ht="31">
      <c r="A37" s="2" t="s">
        <v>209</v>
      </c>
      <c r="B37" s="283">
        <f>'Directed Funds (FY16-22)'!BM7</f>
        <v>13938710.220000003</v>
      </c>
    </row>
  </sheetData>
  <mergeCells count="51">
    <mergeCell ref="J9:J14"/>
    <mergeCell ref="J17:J20"/>
    <mergeCell ref="J23:J24"/>
    <mergeCell ref="J26:J27"/>
    <mergeCell ref="J28:J30"/>
    <mergeCell ref="F28:F30"/>
    <mergeCell ref="H17:H20"/>
    <mergeCell ref="F9:F14"/>
    <mergeCell ref="H9:H14"/>
    <mergeCell ref="F17:F20"/>
    <mergeCell ref="F23:F24"/>
    <mergeCell ref="F26:F27"/>
    <mergeCell ref="G9:G14"/>
    <mergeCell ref="G17:G20"/>
    <mergeCell ref="G23:G24"/>
    <mergeCell ref="G26:G27"/>
    <mergeCell ref="G28:G30"/>
    <mergeCell ref="H23:H24"/>
    <mergeCell ref="H26:H27"/>
    <mergeCell ref="H28:H30"/>
    <mergeCell ref="E9:E14"/>
    <mergeCell ref="B17:B20"/>
    <mergeCell ref="C17:C20"/>
    <mergeCell ref="D17:D20"/>
    <mergeCell ref="A23:A24"/>
    <mergeCell ref="A5:A6"/>
    <mergeCell ref="A9:A14"/>
    <mergeCell ref="B9:B14"/>
    <mergeCell ref="C9:C14"/>
    <mergeCell ref="D9:D14"/>
    <mergeCell ref="E28:E30"/>
    <mergeCell ref="A17:A20"/>
    <mergeCell ref="A26:A27"/>
    <mergeCell ref="B23:B24"/>
    <mergeCell ref="C23:C24"/>
    <mergeCell ref="D23:D24"/>
    <mergeCell ref="E23:E24"/>
    <mergeCell ref="B28:B30"/>
    <mergeCell ref="C28:C30"/>
    <mergeCell ref="D28:D30"/>
    <mergeCell ref="C26:C27"/>
    <mergeCell ref="D26:D27"/>
    <mergeCell ref="E26:E27"/>
    <mergeCell ref="B26:B27"/>
    <mergeCell ref="A28:A30"/>
    <mergeCell ref="E17:E20"/>
    <mergeCell ref="I9:I14"/>
    <mergeCell ref="I17:I20"/>
    <mergeCell ref="I23:I24"/>
    <mergeCell ref="I26:I27"/>
    <mergeCell ref="I28:I30"/>
  </mergeCells>
  <phoneticPr fontId="1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9601883CE92240A80C85803819450A" ma:contentTypeVersion="8" ma:contentTypeDescription="Create a new document." ma:contentTypeScope="" ma:versionID="faf93987a19809c9650e7ee12c973930">
  <xsd:schema xmlns:xsd="http://www.w3.org/2001/XMLSchema" xmlns:xs="http://www.w3.org/2001/XMLSchema" xmlns:p="http://schemas.microsoft.com/office/2006/metadata/properties" xmlns:ns2="545220dd-f413-4c23-a4c2-abbc45e62fa6" xmlns:ns3="0116af86-c38c-4fb4-9b8f-3001cc908444" targetNamespace="http://schemas.microsoft.com/office/2006/metadata/properties" ma:root="true" ma:fieldsID="e715203dbe9bc26ed36617d7e253c9ea" ns2:_="" ns3:_="">
    <xsd:import namespace="545220dd-f413-4c23-a4c2-abbc45e62fa6"/>
    <xsd:import namespace="0116af86-c38c-4fb4-9b8f-3001cc908444"/>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5220dd-f413-4c23-a4c2-abbc45e62f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16af86-c38c-4fb4-9b8f-3001cc90844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E7FFBA-BB18-4B04-88E6-7B2BC9D088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D3E82C4-CF23-46BF-8730-B2B909261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5220dd-f413-4c23-a4c2-abbc45e62fa6"/>
    <ds:schemaRef ds:uri="0116af86-c38c-4fb4-9b8f-3001cc9084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F1FCB1-DB4A-4D05-8C82-2F1FCE357F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Federal (FY14-22)</vt:lpstr>
      <vt:lpstr>State (FY14-22)</vt:lpstr>
      <vt:lpstr>EPAGrantAllocations (FY16-22)</vt:lpstr>
      <vt:lpstr>Directed Funds (FY16-22)</vt:lpstr>
      <vt:lpstr>Directed Funds (2022)</vt:lpstr>
      <vt:lpstr>IIJA Funds Summary (2022)</vt:lpstr>
      <vt:lpstr>ChesapeakeProgress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Krikstan</dc:creator>
  <cp:keywords/>
  <dc:description/>
  <cp:lastModifiedBy>Susanna Pretzer</cp:lastModifiedBy>
  <cp:revision/>
  <dcterms:created xsi:type="dcterms:W3CDTF">2017-02-28T19:03:46Z</dcterms:created>
  <dcterms:modified xsi:type="dcterms:W3CDTF">2023-02-10T13:50:44Z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0x010100349601883CE92240A80C85803819450A</vt:lpwstr>
  </property>
</Properties>
</file>